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2024\"/>
    </mc:Choice>
  </mc:AlternateContent>
  <bookViews>
    <workbookView xWindow="0" yWindow="0" windowWidth="1920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working!$A$4:$GC$121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E107" i="37" l="1"/>
  <c r="EH104" i="37" l="1"/>
  <c r="EH103" i="37" l="1"/>
  <c r="M98" i="37" l="1"/>
  <c r="M87" i="37"/>
  <c r="M94" i="37"/>
  <c r="M13" i="37"/>
  <c r="M67" i="37"/>
  <c r="M66" i="37"/>
  <c r="M9" i="37"/>
  <c r="M18" i="37"/>
  <c r="M7" i="37"/>
  <c r="M10" i="37"/>
  <c r="M36" i="37"/>
  <c r="M50" i="37"/>
  <c r="M5" i="37"/>
  <c r="M8" i="37"/>
  <c r="L120" i="37"/>
  <c r="L117" i="37"/>
  <c r="L95" i="37"/>
  <c r="L94" i="37"/>
  <c r="L67" i="37"/>
  <c r="L66" i="37"/>
  <c r="L36" i="37"/>
  <c r="L13" i="37"/>
  <c r="L9" i="37"/>
  <c r="L8" i="37"/>
  <c r="L5" i="37"/>
  <c r="J95" i="37" l="1"/>
  <c r="J94" i="37"/>
  <c r="B396" i="40"/>
  <c r="B395" i="40"/>
  <c r="B394" i="40"/>
  <c r="B393" i="40"/>
  <c r="B392" i="40"/>
  <c r="B391" i="40"/>
  <c r="B390" i="40"/>
  <c r="B389" i="40"/>
  <c r="B388" i="40"/>
  <c r="B387" i="40"/>
  <c r="B386" i="40"/>
  <c r="B385" i="40"/>
  <c r="B384" i="40"/>
  <c r="B383" i="40"/>
  <c r="B382" i="40"/>
  <c r="B381" i="40"/>
  <c r="B380" i="40"/>
  <c r="B379" i="40"/>
  <c r="B378" i="40"/>
  <c r="B377" i="40"/>
  <c r="B376" i="40"/>
  <c r="B375" i="40"/>
  <c r="B374" i="40"/>
  <c r="B373" i="40"/>
  <c r="B372" i="40"/>
  <c r="B371" i="40"/>
  <c r="B370" i="40"/>
  <c r="B369" i="40"/>
  <c r="B368" i="40"/>
  <c r="B367" i="40"/>
  <c r="B366" i="40"/>
  <c r="B365" i="40"/>
  <c r="B364" i="40"/>
  <c r="B363" i="40"/>
  <c r="B362" i="40"/>
  <c r="B361" i="40"/>
  <c r="B360" i="40"/>
  <c r="B359" i="40"/>
  <c r="B358" i="40"/>
  <c r="B357" i="40"/>
  <c r="B356" i="40"/>
  <c r="B355" i="40"/>
  <c r="B354" i="40"/>
  <c r="B353" i="40"/>
  <c r="B352" i="40"/>
  <c r="B351" i="40"/>
  <c r="B350" i="40"/>
  <c r="B349" i="40"/>
  <c r="B348" i="40"/>
  <c r="B347" i="40"/>
  <c r="B346" i="40"/>
  <c r="B345" i="40"/>
  <c r="B344" i="40"/>
  <c r="B343" i="40"/>
  <c r="B342" i="40"/>
  <c r="B341" i="40"/>
  <c r="B340" i="40"/>
  <c r="B339" i="40"/>
  <c r="B338" i="40"/>
  <c r="B337" i="40"/>
  <c r="B336" i="40"/>
  <c r="B335" i="40"/>
  <c r="B334" i="40"/>
  <c r="B333" i="40"/>
  <c r="B332" i="40"/>
  <c r="B331" i="40"/>
  <c r="B330" i="40"/>
  <c r="B329" i="40"/>
  <c r="B328" i="40"/>
  <c r="B327" i="40"/>
  <c r="B326" i="40"/>
  <c r="B325" i="40"/>
  <c r="B324" i="40"/>
  <c r="B323" i="40"/>
  <c r="B322" i="40"/>
  <c r="B321" i="40"/>
  <c r="B320" i="40"/>
  <c r="B319" i="40"/>
  <c r="B318" i="40"/>
  <c r="B317" i="40"/>
  <c r="B316" i="40"/>
  <c r="B315" i="40"/>
  <c r="B314" i="40"/>
  <c r="B313" i="40"/>
  <c r="B312" i="40"/>
  <c r="B311" i="40"/>
  <c r="B310" i="40"/>
  <c r="B309" i="40"/>
  <c r="B308" i="40"/>
  <c r="B307" i="40"/>
  <c r="B306" i="40"/>
  <c r="B305" i="40"/>
  <c r="B304" i="40"/>
  <c r="B303" i="40"/>
  <c r="B302" i="40"/>
  <c r="B301" i="40"/>
  <c r="B300" i="40"/>
  <c r="B299" i="40"/>
  <c r="B298" i="40"/>
  <c r="B297" i="40"/>
  <c r="B296" i="40"/>
  <c r="B295" i="40"/>
  <c r="B294" i="40"/>
  <c r="B293" i="40"/>
  <c r="B292" i="40"/>
  <c r="B291" i="40"/>
  <c r="B290" i="40"/>
  <c r="B289" i="40"/>
  <c r="B288" i="40"/>
  <c r="B287" i="40"/>
  <c r="B286" i="40"/>
  <c r="B285" i="40"/>
  <c r="B284" i="40"/>
  <c r="B283" i="40"/>
  <c r="B282" i="40"/>
  <c r="B281" i="40"/>
  <c r="B280" i="40"/>
  <c r="B279" i="40"/>
  <c r="B278" i="40"/>
  <c r="B277" i="40"/>
  <c r="B276" i="40"/>
  <c r="B275" i="40"/>
  <c r="B274" i="40"/>
  <c r="B273" i="40"/>
  <c r="B272" i="40"/>
  <c r="B271" i="40"/>
  <c r="B270" i="40"/>
  <c r="B269" i="40"/>
  <c r="B268" i="40"/>
  <c r="B267" i="40"/>
  <c r="B266" i="40"/>
  <c r="B265" i="40"/>
  <c r="B264" i="40"/>
  <c r="B263" i="40"/>
  <c r="B262" i="40"/>
  <c r="B261" i="40"/>
  <c r="B260" i="40"/>
  <c r="B259" i="40"/>
  <c r="B258" i="40"/>
  <c r="B257" i="40"/>
  <c r="B256" i="40"/>
  <c r="B255" i="40"/>
  <c r="B254" i="40"/>
  <c r="B253" i="40"/>
  <c r="B252" i="40"/>
  <c r="B251" i="40"/>
  <c r="B250" i="40"/>
  <c r="B249" i="40"/>
  <c r="B248" i="40"/>
  <c r="B247" i="40"/>
  <c r="B246" i="40"/>
  <c r="B245" i="40"/>
  <c r="B244" i="40"/>
  <c r="B243" i="40"/>
  <c r="B242" i="40"/>
  <c r="B241" i="40"/>
  <c r="B240" i="40"/>
  <c r="B239" i="40"/>
  <c r="B238" i="40"/>
  <c r="B237" i="40"/>
  <c r="B236" i="40"/>
  <c r="B235" i="40"/>
  <c r="B234" i="40"/>
  <c r="B233" i="40"/>
  <c r="B232" i="40"/>
  <c r="B231" i="40"/>
  <c r="B230" i="40"/>
  <c r="B229" i="40"/>
  <c r="B228" i="40"/>
  <c r="B227" i="40"/>
  <c r="B226" i="40"/>
  <c r="B225" i="40"/>
  <c r="B224" i="40"/>
  <c r="B223" i="40"/>
  <c r="B222" i="40"/>
  <c r="B221" i="40"/>
  <c r="B220" i="40"/>
  <c r="B219" i="40"/>
  <c r="B218" i="40"/>
  <c r="B217" i="40"/>
  <c r="B216" i="40"/>
  <c r="B215" i="40"/>
  <c r="B214" i="40"/>
  <c r="B213" i="40"/>
  <c r="B212" i="40"/>
  <c r="B211" i="40"/>
  <c r="B210" i="40"/>
  <c r="B209" i="40"/>
  <c r="B208" i="40"/>
  <c r="B207" i="40"/>
  <c r="B206" i="40"/>
  <c r="B205" i="40"/>
  <c r="B204" i="40"/>
  <c r="B203" i="40"/>
  <c r="B202" i="40"/>
  <c r="B201" i="40"/>
  <c r="B200" i="40"/>
  <c r="B199" i="40"/>
  <c r="B198" i="40"/>
  <c r="B197" i="40"/>
  <c r="B196" i="40"/>
  <c r="B195" i="40"/>
  <c r="B194" i="40"/>
  <c r="B193" i="40"/>
  <c r="B192" i="40"/>
  <c r="B191" i="40"/>
  <c r="B190" i="40"/>
  <c r="B189" i="40"/>
  <c r="B188" i="40"/>
  <c r="B187" i="40"/>
  <c r="B186" i="40"/>
  <c r="B185" i="40"/>
  <c r="B184" i="40"/>
  <c r="B183" i="40"/>
  <c r="B182" i="40"/>
  <c r="B181" i="40"/>
  <c r="B180" i="40"/>
  <c r="B179" i="40"/>
  <c r="B178" i="40"/>
  <c r="B177" i="40"/>
  <c r="B176" i="40"/>
  <c r="B175" i="40"/>
  <c r="B174" i="40"/>
  <c r="B173" i="40"/>
  <c r="B172" i="40"/>
  <c r="B171" i="40"/>
  <c r="B170" i="40"/>
  <c r="B169" i="40"/>
  <c r="B168" i="40"/>
  <c r="B167" i="40"/>
  <c r="B166" i="40"/>
  <c r="B165" i="40"/>
  <c r="B164" i="40"/>
  <c r="B163" i="40"/>
  <c r="B162" i="40"/>
  <c r="B161" i="40"/>
  <c r="B160" i="40"/>
  <c r="B159" i="40"/>
  <c r="B158" i="40"/>
  <c r="B157" i="40"/>
  <c r="B156" i="40"/>
  <c r="B155" i="40"/>
  <c r="B154" i="40"/>
  <c r="B153" i="40"/>
  <c r="B152" i="40"/>
  <c r="B151" i="40"/>
  <c r="B150" i="40"/>
  <c r="B149" i="40"/>
  <c r="B148" i="40"/>
  <c r="B147" i="40"/>
  <c r="B146" i="40"/>
  <c r="B145" i="40"/>
  <c r="B144" i="40"/>
  <c r="B143" i="40"/>
  <c r="B142" i="40"/>
  <c r="B141" i="40"/>
  <c r="B140" i="40"/>
  <c r="B139" i="40"/>
  <c r="B138" i="40"/>
  <c r="B137" i="40"/>
  <c r="B136" i="40"/>
  <c r="B135" i="40"/>
  <c r="B134" i="40"/>
  <c r="B133" i="40"/>
  <c r="B132" i="40"/>
  <c r="B131" i="40"/>
  <c r="B130" i="40"/>
  <c r="B129" i="40"/>
  <c r="B128" i="40"/>
  <c r="B127" i="40"/>
  <c r="B126" i="40"/>
  <c r="B125" i="40"/>
  <c r="B124" i="40"/>
  <c r="B123" i="40"/>
  <c r="B122" i="40"/>
  <c r="B121" i="40"/>
  <c r="B120" i="40"/>
  <c r="B119" i="40"/>
  <c r="B118" i="40"/>
  <c r="B117" i="40"/>
  <c r="B116" i="40"/>
  <c r="B115" i="40"/>
  <c r="B114" i="40"/>
  <c r="B113" i="40"/>
  <c r="B112" i="40"/>
  <c r="B111" i="40"/>
  <c r="B110" i="40"/>
  <c r="B109" i="40"/>
  <c r="B108" i="40"/>
  <c r="B107" i="40"/>
  <c r="B106" i="40"/>
  <c r="B105" i="40"/>
  <c r="B104" i="40"/>
  <c r="B103" i="40"/>
  <c r="B102" i="40"/>
  <c r="B101" i="40"/>
  <c r="B100" i="40"/>
  <c r="B99" i="40"/>
  <c r="B98" i="40"/>
  <c r="B97" i="40"/>
  <c r="B96" i="40"/>
  <c r="B95" i="40"/>
  <c r="B94" i="40"/>
  <c r="B93" i="40"/>
  <c r="B92" i="40"/>
  <c r="B91" i="40"/>
  <c r="B90" i="40"/>
  <c r="B89" i="40"/>
  <c r="B88" i="40"/>
  <c r="B87" i="40"/>
  <c r="B86" i="40"/>
  <c r="B85" i="40"/>
  <c r="B84" i="40"/>
  <c r="B83" i="40"/>
  <c r="B82" i="40"/>
  <c r="B81" i="40"/>
  <c r="B80" i="40"/>
  <c r="B79" i="40"/>
  <c r="B78" i="40"/>
  <c r="B77" i="40"/>
  <c r="B76" i="40"/>
  <c r="B75" i="40"/>
  <c r="B74" i="40"/>
  <c r="B73" i="40"/>
  <c r="B72" i="40"/>
  <c r="B71" i="40"/>
  <c r="B70" i="40"/>
  <c r="B69" i="40"/>
  <c r="B68" i="40"/>
  <c r="B67" i="40"/>
  <c r="B66" i="40"/>
  <c r="B65" i="40"/>
  <c r="B64" i="40"/>
  <c r="B63" i="40"/>
  <c r="B62" i="40"/>
  <c r="B61" i="40"/>
  <c r="B60" i="40"/>
  <c r="B59" i="40"/>
  <c r="B58" i="40"/>
  <c r="B57" i="40"/>
  <c r="B56" i="40"/>
  <c r="B55" i="40"/>
  <c r="B54" i="40"/>
  <c r="B53" i="40"/>
  <c r="B52" i="40"/>
  <c r="B51" i="40"/>
  <c r="B50" i="40"/>
  <c r="B49" i="40"/>
  <c r="B48" i="40"/>
  <c r="B47" i="40"/>
  <c r="B46" i="40"/>
  <c r="B45" i="40"/>
  <c r="B44" i="40"/>
  <c r="B43" i="40"/>
  <c r="B42" i="40"/>
  <c r="B41" i="40"/>
  <c r="B40" i="40"/>
  <c r="B39" i="40"/>
  <c r="B38" i="40"/>
  <c r="B37" i="40"/>
  <c r="B36" i="40"/>
  <c r="B35" i="40"/>
  <c r="B34" i="40"/>
  <c r="B33" i="40"/>
  <c r="B32" i="40"/>
  <c r="B31" i="40"/>
  <c r="B30" i="40"/>
  <c r="B29" i="40"/>
  <c r="B28" i="40"/>
  <c r="B27" i="40"/>
  <c r="B26" i="40"/>
  <c r="B25" i="40"/>
  <c r="B24" i="40"/>
  <c r="B23" i="40"/>
  <c r="B22" i="40"/>
  <c r="B21" i="40"/>
  <c r="B20" i="40"/>
  <c r="B19" i="40"/>
  <c r="B18" i="40"/>
  <c r="B17" i="40"/>
  <c r="B16" i="40"/>
  <c r="B15" i="40"/>
  <c r="B14" i="40"/>
  <c r="B13" i="40"/>
  <c r="B12" i="40"/>
  <c r="B11" i="40"/>
  <c r="B10" i="40"/>
  <c r="B9" i="40"/>
  <c r="B8" i="40"/>
  <c r="B7" i="40"/>
  <c r="B6" i="40"/>
  <c r="B5" i="40"/>
  <c r="B4" i="40"/>
  <c r="B3" i="40"/>
  <c r="B2" i="40"/>
  <c r="B1" i="40"/>
  <c r="ED121" i="37" l="1"/>
  <c r="ED120" i="37"/>
  <c r="ED119" i="37"/>
  <c r="ED118" i="37"/>
  <c r="ED117" i="37"/>
  <c r="ED116" i="37"/>
  <c r="ED115" i="37"/>
  <c r="ED114" i="37"/>
  <c r="ED113" i="37"/>
  <c r="ED112" i="37"/>
  <c r="ED111" i="37"/>
  <c r="ED110" i="37"/>
  <c r="ED109" i="37"/>
  <c r="ED108" i="37"/>
  <c r="ED107" i="37"/>
  <c r="ED106" i="37"/>
  <c r="ED105" i="37"/>
  <c r="ED104" i="37"/>
  <c r="ED103" i="37"/>
  <c r="ED102" i="37"/>
  <c r="ED101" i="37"/>
  <c r="ED100" i="37"/>
  <c r="ED99" i="37"/>
  <c r="ED98" i="37"/>
  <c r="ED97" i="37"/>
  <c r="ED96" i="37"/>
  <c r="ED93" i="37"/>
  <c r="ED92" i="37"/>
  <c r="ED91" i="37"/>
  <c r="ED90" i="37"/>
  <c r="ED89" i="37"/>
  <c r="ED88" i="37"/>
  <c r="ED87" i="37"/>
  <c r="ED86" i="37"/>
  <c r="ED85" i="37"/>
  <c r="ED84" i="37"/>
  <c r="ED83" i="37"/>
  <c r="ED82" i="37"/>
  <c r="ED81" i="37"/>
  <c r="ED80" i="37"/>
  <c r="ED79" i="37"/>
  <c r="ED78" i="37"/>
  <c r="ED77" i="37"/>
  <c r="ED76" i="37"/>
  <c r="ED75" i="37"/>
  <c r="ED74" i="37"/>
  <c r="ED73" i="37"/>
  <c r="ED72" i="37"/>
  <c r="ED71" i="37"/>
  <c r="ED70" i="37"/>
  <c r="ED69" i="37"/>
  <c r="ED68" i="37"/>
  <c r="ED67" i="37"/>
  <c r="ED65" i="37"/>
  <c r="ED64" i="37"/>
  <c r="ED63" i="37"/>
  <c r="ED62" i="37"/>
  <c r="ED61" i="37"/>
  <c r="ED60" i="37"/>
  <c r="ED59" i="37"/>
  <c r="ED58" i="37"/>
  <c r="ED57" i="37"/>
  <c r="ED56" i="37"/>
  <c r="ED55" i="37"/>
  <c r="ED54" i="37"/>
  <c r="ED53" i="37"/>
  <c r="ED52" i="37"/>
  <c r="ED51" i="37"/>
  <c r="ED50" i="37"/>
  <c r="ED49" i="37"/>
  <c r="ED48" i="37"/>
  <c r="ED47" i="37"/>
  <c r="ED46" i="37"/>
  <c r="ED45" i="37"/>
  <c r="ED44" i="37"/>
  <c r="ED43" i="37"/>
  <c r="ED42" i="37"/>
  <c r="ED41" i="37"/>
  <c r="ED40" i="37"/>
  <c r="ED39" i="37"/>
  <c r="ED38" i="37"/>
  <c r="ED37" i="37"/>
  <c r="ED36" i="37"/>
  <c r="ED35" i="37"/>
  <c r="ED34" i="37"/>
  <c r="ED33" i="37"/>
  <c r="ED32" i="37"/>
  <c r="ED31" i="37"/>
  <c r="ED30" i="37"/>
  <c r="ED29" i="37"/>
  <c r="ED28" i="37"/>
  <c r="ED27" i="37"/>
  <c r="ED26" i="37"/>
  <c r="ED25" i="37"/>
  <c r="ED24" i="37"/>
  <c r="ED23" i="37"/>
  <c r="ED22" i="37"/>
  <c r="ED21" i="37"/>
  <c r="ED20" i="37"/>
  <c r="ED19" i="37"/>
  <c r="ED18" i="37"/>
  <c r="ED17" i="37"/>
  <c r="ED16" i="37"/>
  <c r="ED15" i="37"/>
  <c r="ED14" i="37"/>
  <c r="ED13" i="37"/>
  <c r="ED12" i="37"/>
  <c r="ED11" i="37"/>
  <c r="ED10" i="37"/>
  <c r="ED9" i="37"/>
  <c r="ED8" i="37"/>
  <c r="ED7" i="37"/>
  <c r="ED6" i="37"/>
  <c r="ED5" i="37"/>
  <c r="EC95" i="37"/>
  <c r="EB95" i="37"/>
  <c r="EB94" i="37"/>
  <c r="EH13" i="37" l="1"/>
  <c r="T50" i="37" l="1"/>
  <c r="EH50" i="37"/>
  <c r="EH8" i="37" l="1"/>
  <c r="EH98" i="37" l="1"/>
  <c r="EH95" i="37"/>
  <c r="EH94" i="37"/>
  <c r="EA95" i="37"/>
  <c r="EA94" i="37"/>
  <c r="EA66" i="37"/>
  <c r="DZ95" i="37" l="1"/>
  <c r="ED95" i="37" s="1"/>
  <c r="DZ94" i="37"/>
  <c r="ED94" i="37" s="1"/>
  <c r="DZ66" i="37"/>
  <c r="ED66" i="37" s="1"/>
  <c r="M35" i="37" l="1"/>
  <c r="M109" i="37"/>
  <c r="M99" i="37"/>
  <c r="M53" i="37"/>
  <c r="M46" i="37"/>
  <c r="M44" i="37"/>
  <c r="M97" i="37"/>
  <c r="M100" i="37"/>
  <c r="M33" i="37" l="1"/>
  <c r="M32" i="37" l="1"/>
  <c r="K53" i="37" l="1"/>
  <c r="K48" i="37"/>
  <c r="K47" i="37"/>
  <c r="K67" i="37"/>
  <c r="K66" i="37"/>
  <c r="K95" i="37" l="1"/>
  <c r="K109" i="37"/>
  <c r="K117" i="37"/>
  <c r="K100" i="37"/>
  <c r="DY95" i="37" l="1"/>
  <c r="DY94" i="37"/>
  <c r="DY66" i="37"/>
  <c r="EH120" i="37" l="1"/>
  <c r="EH100" i="37" l="1"/>
  <c r="EH10" i="37"/>
  <c r="EH9" i="37"/>
  <c r="EH7" i="37"/>
  <c r="EH5" i="37"/>
  <c r="EH67" i="37" l="1"/>
  <c r="EH18" i="37"/>
  <c r="T13" i="37"/>
  <c r="DX95" i="37"/>
  <c r="DW95" i="37"/>
  <c r="DV95" i="37"/>
  <c r="DX94" i="37"/>
  <c r="DW94" i="37"/>
  <c r="DV94" i="37"/>
  <c r="EH109" i="37" l="1"/>
  <c r="EH99" i="37"/>
  <c r="EH36" i="37"/>
  <c r="DU95" i="37" l="1"/>
  <c r="DU94" i="37"/>
  <c r="EH87" i="37" l="1"/>
  <c r="EH66" i="37"/>
  <c r="DT95" i="37" l="1"/>
  <c r="DS94" i="37" l="1"/>
  <c r="DR94" i="37"/>
  <c r="DQ94" i="37"/>
  <c r="DS66" i="37"/>
  <c r="DQ66" i="37"/>
  <c r="DP94" i="37" l="1"/>
  <c r="DP66" i="37"/>
  <c r="EE121" i="37" l="1"/>
  <c r="EF121" i="37" l="1"/>
  <c r="EE120" i="37"/>
  <c r="EF120" i="37" s="1"/>
  <c r="DO94" i="37"/>
  <c r="DN66" i="37" l="1"/>
  <c r="DM66" i="37"/>
  <c r="DN94" i="37"/>
  <c r="DM94" i="37"/>
  <c r="T32" i="37" l="1"/>
  <c r="DL94" i="37"/>
  <c r="DL66" i="37"/>
  <c r="DK94" i="37" l="1"/>
  <c r="DK66" i="37"/>
  <c r="S87" i="37" l="1"/>
  <c r="S50" i="37"/>
  <c r="S117" i="37" l="1"/>
  <c r="T117" i="37"/>
  <c r="DJ94" i="37" l="1"/>
  <c r="DJ66" i="37"/>
  <c r="EE119" i="37" l="1"/>
  <c r="EF119" i="37" s="1"/>
  <c r="EE118" i="37" l="1"/>
  <c r="EF118" i="37" s="1"/>
  <c r="DI94" i="37" l="1"/>
  <c r="DH94" i="37"/>
  <c r="DI66" i="37"/>
  <c r="DH66" i="37"/>
  <c r="DE66" i="37" l="1"/>
  <c r="DD66" i="37"/>
  <c r="DF66" i="37"/>
  <c r="DG66" i="37"/>
  <c r="EE117" i="37" l="1"/>
  <c r="EF117" i="37" s="1"/>
  <c r="CZ37" i="37" l="1"/>
  <c r="EE116" i="37" l="1"/>
  <c r="EF116" i="37" s="1"/>
  <c r="EE115" i="37" l="1"/>
  <c r="EF115" i="37" s="1"/>
  <c r="EE114" i="37"/>
  <c r="EF114" i="37" s="1"/>
  <c r="EE113" i="37"/>
  <c r="EF113" i="37" s="1"/>
  <c r="EE112" i="37"/>
  <c r="EF112" i="37" s="1"/>
  <c r="EE111" i="37"/>
  <c r="EF111" i="37" s="1"/>
  <c r="EE110" i="37"/>
  <c r="EF110" i="37" s="1"/>
  <c r="EE109" i="37" l="1"/>
  <c r="EF109" i="37" s="1"/>
  <c r="EE106" i="37" l="1"/>
  <c r="EE108" i="37"/>
  <c r="EF108" i="37" s="1"/>
  <c r="EF107" i="37"/>
  <c r="T104" i="37"/>
  <c r="EE104" i="37" s="1"/>
  <c r="EF104" i="37" s="1"/>
  <c r="T103" i="37"/>
  <c r="EE105" i="37" l="1"/>
  <c r="EF105" i="37" s="1"/>
  <c r="EF106" i="37"/>
  <c r="EE103" i="37"/>
  <c r="EF103" i="37" l="1"/>
  <c r="EE102" i="37" l="1"/>
  <c r="EF102" i="37" l="1"/>
  <c r="GB95" i="37" l="1"/>
  <c r="GB94" i="37"/>
  <c r="GB62" i="37"/>
  <c r="GB48" i="37"/>
  <c r="GB36" i="37"/>
  <c r="GB13" i="37"/>
  <c r="GB9" i="37"/>
  <c r="FZ32" i="37" l="1"/>
  <c r="FZ99" i="37" l="1"/>
  <c r="FZ98" i="37"/>
  <c r="FZ95" i="37"/>
  <c r="FZ94" i="37"/>
  <c r="FY13" i="37"/>
  <c r="FY36" i="37"/>
  <c r="FX67" i="37" l="1"/>
  <c r="FX10" i="37"/>
  <c r="FX66" i="37" l="1"/>
  <c r="FX22" i="37"/>
  <c r="FX9" i="37"/>
  <c r="FX5" i="37"/>
  <c r="FV66" i="37" l="1"/>
  <c r="FV13" i="37"/>
  <c r="FV95" i="37" l="1"/>
  <c r="FV94" i="37" l="1"/>
  <c r="FT62" i="37" l="1"/>
  <c r="FV87" i="37"/>
  <c r="FT18" i="37"/>
  <c r="FT5" i="37"/>
  <c r="T98" i="37" l="1"/>
  <c r="EE101" i="37" l="1"/>
  <c r="EF101" i="37" s="1"/>
  <c r="T97" i="37" l="1"/>
  <c r="EE100" i="37" l="1"/>
  <c r="EF100" i="37" s="1"/>
  <c r="FR99" i="37" l="1"/>
  <c r="FR98" i="37"/>
  <c r="EE98" i="37"/>
  <c r="EF98" i="37" s="1"/>
  <c r="EE99" i="37"/>
  <c r="EF99" i="37" s="1"/>
  <c r="EE97" i="37" l="1"/>
  <c r="EF97" i="37" s="1"/>
  <c r="FR94" i="37" l="1"/>
  <c r="FR66" i="37"/>
  <c r="FR62" i="37"/>
  <c r="FR35" i="37"/>
  <c r="FR97" i="37"/>
  <c r="FR96" i="37"/>
  <c r="FR95" i="37"/>
  <c r="FR93" i="37"/>
  <c r="FR92" i="37"/>
  <c r="FR91" i="37"/>
  <c r="FR90" i="37"/>
  <c r="FR89" i="37"/>
  <c r="FR88" i="37"/>
  <c r="FR87" i="37"/>
  <c r="FR86" i="37"/>
  <c r="FR85" i="37"/>
  <c r="FR84" i="37"/>
  <c r="FR83" i="37"/>
  <c r="FR82" i="37"/>
  <c r="FR81" i="37"/>
  <c r="FR80" i="37"/>
  <c r="FR79" i="37"/>
  <c r="FR78" i="37"/>
  <c r="FR77" i="37"/>
  <c r="FR76" i="37"/>
  <c r="FR75" i="37"/>
  <c r="FR74" i="37"/>
  <c r="FR73" i="37"/>
  <c r="FR72" i="37"/>
  <c r="FR71" i="37"/>
  <c r="FR70" i="37"/>
  <c r="FR69" i="37"/>
  <c r="FR68" i="37"/>
  <c r="FR67" i="37"/>
  <c r="FR65" i="37"/>
  <c r="FR64" i="37"/>
  <c r="FR63" i="37"/>
  <c r="FR61" i="37"/>
  <c r="FR60" i="37"/>
  <c r="FR59" i="37"/>
  <c r="FR58" i="37"/>
  <c r="FR57" i="37"/>
  <c r="FR56" i="37"/>
  <c r="FR55" i="37"/>
  <c r="FR54" i="37"/>
  <c r="FR53" i="37"/>
  <c r="FR52" i="37"/>
  <c r="FR51" i="37"/>
  <c r="FR50" i="37"/>
  <c r="FR49" i="37"/>
  <c r="FR48" i="37"/>
  <c r="FR47" i="37"/>
  <c r="FR46" i="37"/>
  <c r="FR45" i="37"/>
  <c r="FR44" i="37"/>
  <c r="FR43" i="37"/>
  <c r="FR42" i="37"/>
  <c r="FR41" i="37"/>
  <c r="FR40" i="37"/>
  <c r="FR39" i="37"/>
  <c r="FR38" i="37"/>
  <c r="FR37" i="37"/>
  <c r="FR36" i="37"/>
  <c r="FR34" i="37"/>
  <c r="FR33" i="37"/>
  <c r="FR32" i="37"/>
  <c r="FR31" i="37"/>
  <c r="FR30" i="37"/>
  <c r="FR29" i="37"/>
  <c r="FR28" i="37"/>
  <c r="FR27" i="37"/>
  <c r="FR26" i="37"/>
  <c r="FR25" i="37"/>
  <c r="FR24" i="37"/>
  <c r="FR23" i="37"/>
  <c r="FR22" i="37"/>
  <c r="FR21" i="37"/>
  <c r="FR20" i="37"/>
  <c r="FR19" i="37"/>
  <c r="FR18" i="37"/>
  <c r="FR17" i="37"/>
  <c r="FR16" i="37"/>
  <c r="FR15" i="37"/>
  <c r="FR14" i="37"/>
  <c r="FR12" i="37"/>
  <c r="FR10" i="37"/>
  <c r="FR9" i="37"/>
  <c r="FR8" i="37"/>
  <c r="FR7" i="37"/>
  <c r="FR6" i="37"/>
  <c r="FR5" i="37"/>
  <c r="FR13" i="37" l="1"/>
  <c r="FR11" i="37" l="1"/>
  <c r="EE96" i="37" l="1"/>
  <c r="EF96" i="37" s="1"/>
  <c r="EE95" i="37" l="1"/>
  <c r="EF95" i="37" s="1"/>
  <c r="EE94" i="37"/>
  <c r="EF94" i="37" s="1"/>
  <c r="EE93" i="37" l="1"/>
  <c r="EF93" i="37" l="1"/>
  <c r="EE92" i="37" l="1"/>
  <c r="EF92" i="37" l="1"/>
  <c r="EE91" i="37" l="1"/>
  <c r="EF91" i="37" s="1"/>
  <c r="EE90" i="37"/>
  <c r="EF90" i="37" s="1"/>
  <c r="EE89" i="37" l="1"/>
  <c r="EE88" i="37"/>
  <c r="EF89" i="37" l="1"/>
  <c r="EF88" i="37"/>
  <c r="EE33" i="37" l="1"/>
  <c r="EF33" i="37" s="1"/>
  <c r="K27" i="42" l="1"/>
  <c r="K7" i="42"/>
  <c r="EE87" i="37" l="1"/>
  <c r="EF87" i="37" s="1"/>
  <c r="EE13" i="37" l="1"/>
  <c r="EF13" i="37" s="1"/>
  <c r="EE12" i="37"/>
  <c r="EE11" i="37"/>
  <c r="EF11" i="37" s="1"/>
  <c r="EE10" i="37"/>
  <c r="EF10" i="37" s="1"/>
  <c r="EE9" i="37"/>
  <c r="EF9" i="37" s="1"/>
  <c r="EE8" i="37"/>
  <c r="EF8" i="37" s="1"/>
  <c r="EE86" i="37" l="1"/>
  <c r="EF86" i="37" s="1"/>
  <c r="EE85" i="37"/>
  <c r="EF85" i="37" s="1"/>
  <c r="EE84" i="37" l="1"/>
  <c r="EF84" i="37" s="1"/>
  <c r="EE79" i="37" l="1"/>
  <c r="EE80" i="37"/>
  <c r="EE81" i="37"/>
  <c r="EF81" i="37" s="1"/>
  <c r="EE82" i="37"/>
  <c r="EF82" i="37" s="1"/>
  <c r="EE83" i="37"/>
  <c r="EF83" i="37" l="1"/>
  <c r="EF80" i="37"/>
  <c r="EF79" i="37"/>
  <c r="EI53" i="37" l="1"/>
  <c r="EI18" i="37"/>
  <c r="EI46" i="37"/>
  <c r="EI45" i="37"/>
  <c r="EI44" i="37"/>
  <c r="EI22" i="37"/>
  <c r="EI65" i="37"/>
  <c r="EI20" i="37"/>
  <c r="EI16" i="37"/>
  <c r="EI11" i="37"/>
  <c r="EI66" i="37" l="1"/>
  <c r="EI62" i="37" l="1"/>
  <c r="EI36" i="37" l="1"/>
  <c r="EI24" i="37" l="1"/>
  <c r="EI15" i="37"/>
  <c r="EI13" i="37"/>
  <c r="EI9" i="37"/>
  <c r="EI79" i="37" l="1"/>
  <c r="EE74" i="37" l="1"/>
  <c r="FM74" i="37"/>
  <c r="FN74" i="37" s="1"/>
  <c r="FO74" i="37" s="1"/>
  <c r="EE75" i="37"/>
  <c r="EF75" i="37" s="1"/>
  <c r="FM75" i="37"/>
  <c r="FN75" i="37" s="1"/>
  <c r="EE76" i="37"/>
  <c r="EF76" i="37" s="1"/>
  <c r="FM76" i="37"/>
  <c r="FN76" i="37" s="1"/>
  <c r="EE77" i="37"/>
  <c r="EF77" i="37" s="1"/>
  <c r="FM77" i="37"/>
  <c r="FN77" i="37" s="1"/>
  <c r="EE78" i="37"/>
  <c r="FM78" i="37"/>
  <c r="FN78" i="37" s="1"/>
  <c r="FO78" i="37" s="1"/>
  <c r="FO76" i="37" l="1"/>
  <c r="EF78" i="37"/>
  <c r="EF74" i="37"/>
  <c r="FO77" i="37"/>
  <c r="FO75" i="37"/>
  <c r="EE73" i="37" l="1"/>
  <c r="EE72" i="37"/>
  <c r="EE71" i="37"/>
  <c r="EE70" i="37"/>
  <c r="EE68" i="37" l="1"/>
  <c r="EF68" i="37" s="1"/>
  <c r="EE69" i="37" l="1"/>
  <c r="EE67" i="37"/>
  <c r="EF67" i="37" s="1"/>
  <c r="EE66" i="37"/>
  <c r="EF66" i="37" s="1"/>
  <c r="EE65" i="37"/>
  <c r="EF65" i="37" s="1"/>
  <c r="EE64" i="37"/>
  <c r="EE63" i="37"/>
  <c r="EE62" i="37"/>
  <c r="EF62" i="37" s="1"/>
  <c r="EE61" i="37"/>
  <c r="EE60" i="37"/>
  <c r="EE59" i="37"/>
  <c r="EE58" i="37"/>
  <c r="EE57" i="37"/>
  <c r="EF57" i="37" s="1"/>
  <c r="EE56" i="37"/>
  <c r="EF56" i="37" s="1"/>
  <c r="EE55" i="37"/>
  <c r="EE54" i="37"/>
  <c r="EE53" i="37"/>
  <c r="EF53" i="37" s="1"/>
  <c r="EE52" i="37"/>
  <c r="EE51" i="37"/>
  <c r="EE50" i="37"/>
  <c r="EE49" i="37"/>
  <c r="EE48" i="37"/>
  <c r="EF48" i="37" s="1"/>
  <c r="EE47" i="37"/>
  <c r="EF47" i="37" s="1"/>
  <c r="EE46" i="37"/>
  <c r="EF46" i="37" s="1"/>
  <c r="EE45" i="37"/>
  <c r="EF45" i="37" s="1"/>
  <c r="EE44" i="37"/>
  <c r="EF44" i="37" s="1"/>
  <c r="EE43" i="37"/>
  <c r="EE42" i="37"/>
  <c r="EE41" i="37"/>
  <c r="EE40" i="37"/>
  <c r="EE38" i="37"/>
  <c r="EF38" i="37" s="1"/>
  <c r="EE37" i="37"/>
  <c r="EF37" i="37" s="1"/>
  <c r="EE36" i="37"/>
  <c r="EF36" i="37" s="1"/>
  <c r="EE35" i="37"/>
  <c r="EF35" i="37" s="1"/>
  <c r="EE34" i="37"/>
  <c r="EF34" i="37" s="1"/>
  <c r="EE32" i="37"/>
  <c r="EF32" i="37" s="1"/>
  <c r="EE31" i="37"/>
  <c r="EE30" i="37"/>
  <c r="EE29" i="37"/>
  <c r="EE28" i="37"/>
  <c r="EE27" i="37"/>
  <c r="EE26" i="37"/>
  <c r="EE25" i="37"/>
  <c r="EF25" i="37" s="1"/>
  <c r="EE24" i="37"/>
  <c r="EF24" i="37" s="1"/>
  <c r="EE23" i="37"/>
  <c r="EE22" i="37"/>
  <c r="EF22" i="37" s="1"/>
  <c r="EE21" i="37"/>
  <c r="EF21" i="37" s="1"/>
  <c r="EE20" i="37"/>
  <c r="EF20" i="37" s="1"/>
  <c r="EE19" i="37"/>
  <c r="EE18" i="37"/>
  <c r="EF18" i="37" s="1"/>
  <c r="EE17" i="37"/>
  <c r="EE16" i="37"/>
  <c r="EF16" i="37" s="1"/>
  <c r="EE15" i="37"/>
  <c r="EF15" i="37" s="1"/>
  <c r="EE14" i="37"/>
  <c r="EE7" i="37"/>
  <c r="EF7" i="37" s="1"/>
  <c r="EE6" i="37"/>
  <c r="EE5" i="37"/>
  <c r="EF5" i="37" s="1"/>
  <c r="EE39" i="37" l="1"/>
  <c r="EF39" i="37" s="1"/>
  <c r="FM73" i="37"/>
  <c r="FN73" i="37" s="1"/>
  <c r="FM72" i="37"/>
  <c r="FN72" i="37" s="1"/>
  <c r="FM71" i="37"/>
  <c r="FM70" i="37"/>
  <c r="FN70" i="37" s="1"/>
  <c r="FK69" i="37"/>
  <c r="FM69" i="37" s="1"/>
  <c r="FK67" i="37"/>
  <c r="FM67" i="37" s="1"/>
  <c r="FK66" i="37"/>
  <c r="FM66" i="37" s="1"/>
  <c r="FK65" i="37"/>
  <c r="FM65" i="37" s="1"/>
  <c r="FK64" i="37"/>
  <c r="FM64" i="37" s="1"/>
  <c r="FK63" i="37"/>
  <c r="FM63" i="37" s="1"/>
  <c r="FK62" i="37"/>
  <c r="FM62" i="37" s="1"/>
  <c r="FK61" i="37"/>
  <c r="FM61" i="37" s="1"/>
  <c r="FK60" i="37"/>
  <c r="FM60" i="37" s="1"/>
  <c r="FK59" i="37"/>
  <c r="FM59" i="37" s="1"/>
  <c r="FK58" i="37"/>
  <c r="FM58" i="37" s="1"/>
  <c r="FK57" i="37"/>
  <c r="FM57" i="37" s="1"/>
  <c r="FK56" i="37"/>
  <c r="FM56" i="37" s="1"/>
  <c r="FK55" i="37"/>
  <c r="FM55" i="37" s="1"/>
  <c r="FK54" i="37"/>
  <c r="FM54" i="37" s="1"/>
  <c r="FK53" i="37"/>
  <c r="FM53" i="37" s="1"/>
  <c r="FK52" i="37"/>
  <c r="FM52" i="37" s="1"/>
  <c r="FK51" i="37"/>
  <c r="FM51" i="37" s="1"/>
  <c r="FK50" i="37"/>
  <c r="FM50" i="37" s="1"/>
  <c r="FK49" i="37"/>
  <c r="FM49" i="37" s="1"/>
  <c r="FK48" i="37"/>
  <c r="FM48" i="37" s="1"/>
  <c r="FK47" i="37"/>
  <c r="FM47" i="37" s="1"/>
  <c r="FK46" i="37"/>
  <c r="FM46" i="37" s="1"/>
  <c r="FK45" i="37"/>
  <c r="FM45" i="37" s="1"/>
  <c r="FK44" i="37"/>
  <c r="FM44" i="37" s="1"/>
  <c r="FK43" i="37"/>
  <c r="FM43" i="37" s="1"/>
  <c r="FK42" i="37"/>
  <c r="FM42" i="37" s="1"/>
  <c r="FK41" i="37"/>
  <c r="FM41" i="37" s="1"/>
  <c r="FK40" i="37"/>
  <c r="FM40" i="37" s="1"/>
  <c r="FK39" i="37"/>
  <c r="FM39" i="37" s="1"/>
  <c r="FK38" i="37"/>
  <c r="FM38" i="37" s="1"/>
  <c r="FK37" i="37"/>
  <c r="FM37" i="37" s="1"/>
  <c r="FK36" i="37"/>
  <c r="FM36" i="37" s="1"/>
  <c r="FK35" i="37"/>
  <c r="FM35" i="37" s="1"/>
  <c r="FK34" i="37"/>
  <c r="FM34" i="37" s="1"/>
  <c r="FK33" i="37"/>
  <c r="FM33" i="37" s="1"/>
  <c r="FK32" i="37"/>
  <c r="FM32" i="37" s="1"/>
  <c r="FK31" i="37"/>
  <c r="FM31" i="37" s="1"/>
  <c r="FK30" i="37"/>
  <c r="FM30" i="37" s="1"/>
  <c r="FK29" i="37"/>
  <c r="FM29" i="37" s="1"/>
  <c r="FK28" i="37"/>
  <c r="FM28" i="37" s="1"/>
  <c r="FK27" i="37"/>
  <c r="FM27" i="37" s="1"/>
  <c r="FK26" i="37"/>
  <c r="FM26" i="37" s="1"/>
  <c r="FK25" i="37"/>
  <c r="FM25" i="37" s="1"/>
  <c r="FK24" i="37"/>
  <c r="FM24" i="37" s="1"/>
  <c r="FK23" i="37"/>
  <c r="FM23" i="37" s="1"/>
  <c r="FK22" i="37"/>
  <c r="FM22" i="37" s="1"/>
  <c r="FK21" i="37"/>
  <c r="FM21" i="37" s="1"/>
  <c r="FK20" i="37"/>
  <c r="FM20" i="37" s="1"/>
  <c r="FK19" i="37"/>
  <c r="FM19" i="37" s="1"/>
  <c r="FK18" i="37"/>
  <c r="FM18" i="37" s="1"/>
  <c r="FK17" i="37"/>
  <c r="FM17" i="37" s="1"/>
  <c r="FK16" i="37"/>
  <c r="FM16" i="37" s="1"/>
  <c r="FK15" i="37"/>
  <c r="FM15" i="37" s="1"/>
  <c r="FK14" i="37"/>
  <c r="FM14" i="37" s="1"/>
  <c r="FK13" i="37"/>
  <c r="FM13" i="37" s="1"/>
  <c r="FK12" i="37"/>
  <c r="FM12" i="37" s="1"/>
  <c r="FK11" i="37"/>
  <c r="FM11" i="37" s="1"/>
  <c r="FK10" i="37"/>
  <c r="FM10" i="37" s="1"/>
  <c r="FK9" i="37"/>
  <c r="FM9" i="37" s="1"/>
  <c r="FK8" i="37"/>
  <c r="FM8" i="37" s="1"/>
  <c r="FK7" i="37"/>
  <c r="FM7" i="37" s="1"/>
  <c r="FK6" i="37"/>
  <c r="FM6" i="37" s="1"/>
  <c r="FK5" i="37"/>
  <c r="FM5" i="37" s="1"/>
  <c r="EF72" i="37"/>
  <c r="EF71" i="37" l="1"/>
  <c r="FN71" i="37"/>
  <c r="FO71" i="37" s="1"/>
  <c r="EF70" i="37"/>
  <c r="EF73" i="37"/>
  <c r="FO70" i="37"/>
  <c r="FO72" i="37"/>
  <c r="FO73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F69" i="37" l="1"/>
  <c r="FN69" i="37" l="1"/>
  <c r="FO69" i="37" s="1"/>
  <c r="FN67" i="37" l="1"/>
  <c r="FO67" i="37" s="1"/>
  <c r="FN65" i="37"/>
  <c r="FO65" i="37" s="1"/>
  <c r="FN64" i="37"/>
  <c r="FO64" i="37" s="1"/>
  <c r="FN63" i="37"/>
  <c r="FO63" i="37" s="1"/>
  <c r="FN62" i="37"/>
  <c r="FO62" i="37" s="1"/>
  <c r="FN61" i="37"/>
  <c r="FO61" i="37" s="1"/>
  <c r="EF61" i="37"/>
  <c r="FN60" i="37"/>
  <c r="FO60" i="37" s="1"/>
  <c r="EF60" i="37"/>
  <c r="FN59" i="37"/>
  <c r="FO59" i="37" s="1"/>
  <c r="EF59" i="37"/>
  <c r="FN58" i="37"/>
  <c r="FO58" i="37" s="1"/>
  <c r="EF58" i="37"/>
  <c r="FN57" i="37"/>
  <c r="FO57" i="37" s="1"/>
  <c r="FN55" i="37"/>
  <c r="FO55" i="37" s="1"/>
  <c r="EF55" i="37"/>
  <c r="FN54" i="37"/>
  <c r="FO54" i="37" s="1"/>
  <c r="EF54" i="37"/>
  <c r="FN53" i="37"/>
  <c r="FO53" i="37" s="1"/>
  <c r="EF52" i="37"/>
  <c r="FN50" i="37"/>
  <c r="FO50" i="37" s="1"/>
  <c r="FN49" i="37"/>
  <c r="FO49" i="37" s="1"/>
  <c r="FN48" i="37"/>
  <c r="FO48" i="37" s="1"/>
  <c r="FN47" i="37"/>
  <c r="FO47" i="37" s="1"/>
  <c r="FN46" i="37"/>
  <c r="FO46" i="37" s="1"/>
  <c r="FN45" i="37"/>
  <c r="FO45" i="37" s="1"/>
  <c r="FN44" i="37"/>
  <c r="FO44" i="37" s="1"/>
  <c r="FN43" i="37"/>
  <c r="FO43" i="37" s="1"/>
  <c r="EF43" i="37"/>
  <c r="FN42" i="37"/>
  <c r="FO42" i="37" s="1"/>
  <c r="EF42" i="37"/>
  <c r="FN41" i="37"/>
  <c r="FO41" i="37" s="1"/>
  <c r="EF41" i="37"/>
  <c r="FN40" i="37"/>
  <c r="FO40" i="37" s="1"/>
  <c r="EF40" i="37"/>
  <c r="FN39" i="37"/>
  <c r="FO39" i="37" s="1"/>
  <c r="FN38" i="37"/>
  <c r="FO38" i="37" s="1"/>
  <c r="FN37" i="37"/>
  <c r="FO37" i="37" s="1"/>
  <c r="FN35" i="37"/>
  <c r="FO35" i="37" s="1"/>
  <c r="FN34" i="37"/>
  <c r="FO34" i="37" s="1"/>
  <c r="FN32" i="37"/>
  <c r="FO32" i="37" s="1"/>
  <c r="FN31" i="37"/>
  <c r="FO31" i="37" s="1"/>
  <c r="EF31" i="37"/>
  <c r="FN30" i="37"/>
  <c r="FO30" i="37" s="1"/>
  <c r="EF30" i="37"/>
  <c r="FN29" i="37"/>
  <c r="FO29" i="37" s="1"/>
  <c r="EF29" i="37"/>
  <c r="FN28" i="37"/>
  <c r="FO28" i="37" s="1"/>
  <c r="EF28" i="37"/>
  <c r="FN27" i="37"/>
  <c r="FO27" i="37" s="1"/>
  <c r="EF27" i="37"/>
  <c r="FN26" i="37"/>
  <c r="FO26" i="37" s="1"/>
  <c r="EF26" i="37"/>
  <c r="FN25" i="37"/>
  <c r="FO25" i="37" s="1"/>
  <c r="FN23" i="37"/>
  <c r="FO23" i="37" s="1"/>
  <c r="EF23" i="37"/>
  <c r="FN22" i="37"/>
  <c r="FO22" i="37" s="1"/>
  <c r="FN20" i="37"/>
  <c r="FO20" i="37" s="1"/>
  <c r="FN18" i="37"/>
  <c r="FO18" i="37" s="1"/>
  <c r="EF17" i="37"/>
  <c r="EF14" i="37"/>
  <c r="FN13" i="37"/>
  <c r="FO13" i="37" s="1"/>
  <c r="FN12" i="37"/>
  <c r="FO12" i="37" s="1"/>
  <c r="EF12" i="37"/>
  <c r="FN11" i="37"/>
  <c r="FO11" i="37" s="1"/>
  <c r="FN10" i="37"/>
  <c r="FO10" i="37" s="1"/>
  <c r="FN8" i="37"/>
  <c r="FO8" i="37" s="1"/>
  <c r="FN7" i="37"/>
  <c r="FO7" i="37" s="1"/>
  <c r="FN6" i="37"/>
  <c r="FO6" i="37" s="1"/>
  <c r="EF6" i="37"/>
  <c r="FN5" i="37"/>
  <c r="FO5" i="37" s="1"/>
  <c r="FN56" i="37" l="1"/>
  <c r="FO56" i="37" s="1"/>
  <c r="FN66" i="37"/>
  <c r="FO66" i="37" s="1"/>
  <c r="FN36" i="37"/>
  <c r="FO36" i="37" s="1"/>
  <c r="EF50" i="37"/>
  <c r="FN17" i="37"/>
  <c r="FO17" i="37" s="1"/>
  <c r="EF64" i="37"/>
  <c r="EF19" i="37"/>
  <c r="FN33" i="37"/>
  <c r="FO33" i="37" s="1"/>
  <c r="FN52" i="37"/>
  <c r="FO52" i="37" s="1"/>
  <c r="EF63" i="37"/>
  <c r="FN21" i="37"/>
  <c r="FO21" i="37" s="1"/>
  <c r="FN24" i="37"/>
  <c r="FO24" i="37" s="1"/>
  <c r="FN9" i="37"/>
  <c r="FO9" i="37" s="1"/>
  <c r="FN15" i="37"/>
  <c r="FO15" i="37" s="1"/>
  <c r="FN19" i="37"/>
  <c r="FO19" i="37" s="1"/>
  <c r="EF51" i="37"/>
  <c r="FN51" i="37"/>
  <c r="FO51" i="37" s="1"/>
  <c r="FN14" i="37"/>
  <c r="FO14" i="37" s="1"/>
  <c r="FN16" i="37"/>
  <c r="FO16" i="37" s="1"/>
  <c r="EF49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L5" authorId="0" shapeId="0">
      <text>
        <r>
          <rPr>
            <sz val="9"/>
            <color indexed="81"/>
            <rFont val="Tahoma"/>
            <charset val="1"/>
          </rPr>
          <t xml:space="preserve">PO 088 - 480 Case
</t>
        </r>
      </text>
    </comment>
    <comment ref="M5" authorId="0" shapeId="0">
      <text>
        <r>
          <rPr>
            <b/>
            <sz val="9"/>
            <color indexed="81"/>
            <rFont val="Tahoma"/>
          </rPr>
          <t>PO 107 - 480 case</t>
        </r>
      </text>
    </comment>
    <comment ref="M7" authorId="0" shapeId="0">
      <text>
        <r>
          <rPr>
            <b/>
            <sz val="9"/>
            <color indexed="81"/>
            <rFont val="Tahoma"/>
            <charset val="1"/>
          </rPr>
          <t>PO 095 - 40 Case
PO 106 - 40 Case</t>
        </r>
      </text>
    </comment>
    <comment ref="L8" authorId="0" shapeId="0">
      <text>
        <r>
          <rPr>
            <b/>
            <sz val="9"/>
            <color indexed="81"/>
            <rFont val="Tahoma"/>
            <charset val="1"/>
          </rPr>
          <t>PO 087 - 80 Drum</t>
        </r>
        <r>
          <rPr>
            <sz val="9"/>
            <color indexed="81"/>
            <rFont val="Tahoma"/>
            <charset val="1"/>
          </rPr>
          <t xml:space="preserve">
PO 090 - 40 Drum</t>
        </r>
      </text>
    </comment>
    <comment ref="M8" authorId="0" shapeId="0">
      <text>
        <r>
          <rPr>
            <b/>
            <sz val="9"/>
            <color indexed="81"/>
            <rFont val="Tahoma"/>
          </rPr>
          <t>PO 104 - 80 Drum
PO 105 - 80 Drum
PO 106 - 80 Drum</t>
        </r>
      </text>
    </comment>
    <comment ref="EH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</rPr>
          <t>PO 088 - 240 Can
PO 092 - 336 Can</t>
        </r>
        <r>
          <rPr>
            <sz val="9"/>
            <color indexed="81"/>
            <rFont val="Tahoma"/>
          </rPr>
          <t xml:space="preserve">
</t>
        </r>
      </text>
    </comment>
    <comment ref="M9" authorId="0" shapeId="0">
      <text>
        <r>
          <rPr>
            <sz val="9"/>
            <color indexed="81"/>
            <rFont val="Tahoma"/>
            <charset val="1"/>
          </rPr>
          <t>PO 095 - 480 Can
PO 108 - 816 Can
PO 109 - 192 Can
PO 110 - 288 Can</t>
        </r>
      </text>
    </comment>
    <comment ref="M10" authorId="0" shapeId="0">
      <text>
        <r>
          <rPr>
            <b/>
            <sz val="9"/>
            <color indexed="81"/>
            <rFont val="Tahoma"/>
            <charset val="1"/>
          </rPr>
          <t>PO 095 - 48 Case
PO 109 - 48 Case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 xml:space="preserve">PO 089 - 600 Case
PO 090 - 200 Case
</t>
        </r>
      </text>
    </comment>
    <comment ref="M13" authorId="0" shapeId="0">
      <text>
        <r>
          <rPr>
            <sz val="9"/>
            <color indexed="81"/>
            <rFont val="Tahoma"/>
          </rPr>
          <t>PO 110 - 440 Case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8" authorId="0" shapeId="0">
      <text>
        <r>
          <rPr>
            <b/>
            <sz val="9"/>
            <color indexed="81"/>
            <rFont val="Tahoma"/>
            <charset val="1"/>
          </rPr>
          <t>PO 095 - 54 Can</t>
        </r>
        <r>
          <rPr>
            <sz val="9"/>
            <color indexed="81"/>
            <rFont val="Tahoma"/>
            <charset val="1"/>
          </rPr>
          <t xml:space="preserve">
PO 109 - 54 Can</t>
        </r>
      </text>
    </comment>
    <comment ref="M32" authorId="0" shapeId="0">
      <text>
        <r>
          <rPr>
            <b/>
            <sz val="9"/>
            <color indexed="81"/>
            <rFont val="Tahoma"/>
            <charset val="1"/>
          </rPr>
          <t>PO 091 - 80 Drum</t>
        </r>
      </text>
    </comment>
    <comment ref="T32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3" authorId="0" shapeId="0">
      <text>
        <r>
          <rPr>
            <b/>
            <sz val="9"/>
            <color indexed="81"/>
            <rFont val="Tahoma"/>
            <charset val="1"/>
          </rPr>
          <t>PO 095 - 20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5" authorId="0" shapeId="0">
      <text>
        <r>
          <rPr>
            <b/>
            <sz val="9"/>
            <color indexed="81"/>
            <rFont val="Tahoma"/>
            <charset val="1"/>
          </rPr>
          <t>PO 096 - 27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35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6" authorId="0" shapeId="0">
      <text>
        <r>
          <rPr>
            <b/>
            <sz val="9"/>
            <color indexed="81"/>
            <rFont val="Tahoma"/>
            <charset val="1"/>
          </rPr>
          <t>PO 092 - 440 Case</t>
        </r>
      </text>
    </comment>
    <comment ref="M36" authorId="0" shapeId="0">
      <text>
        <r>
          <rPr>
            <b/>
            <sz val="9"/>
            <color indexed="81"/>
            <rFont val="Tahoma"/>
          </rPr>
          <t>PO 109 - 440 Case</t>
        </r>
        <r>
          <rPr>
            <sz val="9"/>
            <color indexed="81"/>
            <rFont val="Tahoma"/>
          </rPr>
          <t xml:space="preserve">
</t>
        </r>
      </text>
    </comment>
    <comment ref="M44" authorId="0" shapeId="0">
      <text>
        <r>
          <rPr>
            <b/>
            <sz val="9"/>
            <color indexed="81"/>
            <rFont val="Tahoma"/>
            <charset val="1"/>
          </rPr>
          <t>PO 096 - 12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6" authorId="0" shapeId="0">
      <text>
        <r>
          <rPr>
            <b/>
            <sz val="9"/>
            <color indexed="81"/>
            <rFont val="Tahoma"/>
            <charset val="1"/>
          </rPr>
          <t>PO 096 - 12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7" authorId="0" shapeId="0">
      <text>
        <r>
          <rPr>
            <b/>
            <sz val="9"/>
            <color indexed="81"/>
            <rFont val="Tahoma"/>
            <charset val="1"/>
          </rPr>
          <t>PO 070 - 48 Case</t>
        </r>
      </text>
    </comment>
    <comment ref="K48" authorId="0" shapeId="0">
      <text>
        <r>
          <rPr>
            <b/>
            <sz val="9"/>
            <color indexed="81"/>
            <rFont val="Tahoma"/>
            <charset val="1"/>
          </rPr>
          <t>PO 070 - 96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0" authorId="0" shapeId="0">
      <text>
        <r>
          <rPr>
            <b/>
            <sz val="9"/>
            <color indexed="81"/>
            <rFont val="Tahoma"/>
            <charset val="1"/>
          </rPr>
          <t>PO 070 - 4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0" authorId="0" shapeId="0">
      <text>
        <r>
          <rPr>
            <b/>
            <sz val="9"/>
            <color indexed="81"/>
            <rFont val="Tahoma"/>
          </rPr>
          <t>PO 107 - 20 Drum</t>
        </r>
        <r>
          <rPr>
            <sz val="9"/>
            <color indexed="81"/>
            <rFont val="Tahoma"/>
          </rPr>
          <t xml:space="preserve">
</t>
        </r>
      </text>
    </comment>
    <comment ref="S50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0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K53" authorId="0" shapeId="0">
      <text>
        <r>
          <rPr>
            <b/>
            <sz val="9"/>
            <color indexed="81"/>
            <rFont val="Tahoma"/>
            <charset val="1"/>
          </rPr>
          <t>PO 070 - 48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3" authorId="0" shapeId="0">
      <text>
        <r>
          <rPr>
            <b/>
            <sz val="9"/>
            <color indexed="81"/>
            <rFont val="Tahoma"/>
            <charset val="1"/>
          </rPr>
          <t>PO 096 - 48 Can</t>
        </r>
      </text>
    </comment>
    <comment ref="EH5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H57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H62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6" authorId="0" shapeId="0">
      <text>
        <r>
          <rPr>
            <b/>
            <sz val="9"/>
            <color indexed="81"/>
            <rFont val="Tahoma"/>
            <charset val="1"/>
          </rPr>
          <t>PO 070 - 60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6" authorId="0" shapeId="0">
      <text>
        <r>
          <rPr>
            <b/>
            <sz val="9"/>
            <color indexed="81"/>
            <rFont val="Tahoma"/>
            <charset val="1"/>
          </rPr>
          <t>PO 093 - 60 Case</t>
        </r>
      </text>
    </comment>
    <comment ref="M66" authorId="0" shapeId="0">
      <text>
        <r>
          <rPr>
            <b/>
            <sz val="9"/>
            <color indexed="81"/>
            <rFont val="Tahoma"/>
          </rPr>
          <t>PO 111 - 60 Case</t>
        </r>
        <r>
          <rPr>
            <sz val="9"/>
            <color indexed="81"/>
            <rFont val="Tahoma"/>
          </rPr>
          <t xml:space="preserve">
</t>
        </r>
      </text>
    </comment>
    <comment ref="K67" authorId="0" shapeId="0">
      <text>
        <r>
          <rPr>
            <b/>
            <sz val="9"/>
            <color indexed="81"/>
            <rFont val="Tahoma"/>
            <charset val="1"/>
          </rPr>
          <t>PO 070 - 144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093 - 96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7" authorId="0" shapeId="0">
      <text>
        <r>
          <rPr>
            <b/>
            <sz val="9"/>
            <color indexed="81"/>
            <rFont val="Tahoma"/>
          </rPr>
          <t>PO 111 - 96 Can</t>
        </r>
        <r>
          <rPr>
            <sz val="9"/>
            <color indexed="81"/>
            <rFont val="Tahoma"/>
          </rPr>
          <t xml:space="preserve">
</t>
        </r>
      </text>
    </comment>
    <comment ref="R67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6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7" authorId="0" shapeId="0">
      <text>
        <r>
          <rPr>
            <b/>
            <sz val="9"/>
            <color indexed="81"/>
            <rFont val="Tahoma"/>
            <charset val="1"/>
          </rPr>
          <t>PO 096 - 120 Can</t>
        </r>
        <r>
          <rPr>
            <sz val="9"/>
            <color indexed="81"/>
            <rFont val="Tahoma"/>
            <charset val="1"/>
          </rPr>
          <t xml:space="preserve">
PO 111 - 120 Can</t>
        </r>
      </text>
    </comment>
    <comment ref="S87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7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4" authorId="0" shapeId="0">
      <text>
        <r>
          <rPr>
            <b/>
            <sz val="9"/>
            <color indexed="81"/>
            <rFont val="Tahoma"/>
            <charset val="1"/>
          </rPr>
          <t xml:space="preserve">PO 093 - 288 Case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94" authorId="0" shapeId="0">
      <text>
        <r>
          <rPr>
            <b/>
            <sz val="9"/>
            <color indexed="81"/>
            <rFont val="Tahoma"/>
          </rPr>
          <t>PO 111 - 288 Case</t>
        </r>
        <r>
          <rPr>
            <sz val="9"/>
            <color indexed="81"/>
            <rFont val="Tahoma"/>
          </rPr>
          <t xml:space="preserve">
</t>
        </r>
      </text>
    </comment>
    <comment ref="EH94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5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093 - 144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6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7" authorId="0" shapeId="0">
      <text>
        <r>
          <rPr>
            <b/>
            <sz val="9"/>
            <color indexed="81"/>
            <rFont val="Tahoma"/>
            <charset val="1"/>
          </rPr>
          <t>PO 096 - 125 Case</t>
        </r>
      </text>
    </comment>
    <comment ref="T97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8" authorId="0" shapeId="0">
      <text>
        <r>
          <rPr>
            <b/>
            <sz val="9"/>
            <color indexed="81"/>
            <rFont val="Tahoma"/>
            <charset val="1"/>
          </rPr>
          <t>PO 096 - 96 Case
PO 111 - 144 Case</t>
        </r>
      </text>
    </comment>
    <comment ref="T98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H98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 shapeId="0">
      <text>
        <r>
          <rPr>
            <b/>
            <sz val="9"/>
            <color indexed="81"/>
            <rFont val="Tahoma"/>
            <charset val="1"/>
          </rPr>
          <t>PO 096 - 48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H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0" authorId="0" shapeId="0">
      <text>
        <r>
          <rPr>
            <b/>
            <sz val="9"/>
            <color indexed="81"/>
            <rFont val="Tahoma"/>
            <charset val="1"/>
          </rPr>
          <t>PO 069 - 80 Case</t>
        </r>
      </text>
    </comment>
    <comment ref="M100" authorId="0" shapeId="0">
      <text>
        <r>
          <rPr>
            <b/>
            <sz val="9"/>
            <color indexed="81"/>
            <rFont val="Tahoma"/>
            <charset val="1"/>
          </rPr>
          <t>PO 096 - 80 Case</t>
        </r>
      </text>
    </comment>
    <comment ref="EH102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3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4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8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9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M109" authorId="0" shapeId="0">
      <text>
        <r>
          <rPr>
            <b/>
            <sz val="9"/>
            <color indexed="81"/>
            <rFont val="Tahoma"/>
            <charset val="1"/>
          </rPr>
          <t>PO 096 - 144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17" authorId="0" shapeId="0">
      <text>
        <r>
          <rPr>
            <b/>
            <sz val="9"/>
            <color indexed="81"/>
            <rFont val="Tahoma"/>
            <charset val="1"/>
          </rPr>
          <t>PO 093 - 32 Drum</t>
        </r>
        <r>
          <rPr>
            <sz val="9"/>
            <color indexed="81"/>
            <rFont val="Tahoma"/>
            <charset val="1"/>
          </rPr>
          <t xml:space="preserve">
PO 094 - 80 Drum</t>
        </r>
      </text>
    </comment>
    <comment ref="S117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7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19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20" authorId="0" shapeId="0">
      <text>
        <r>
          <rPr>
            <b/>
            <sz val="9"/>
            <color indexed="81"/>
            <rFont val="Tahoma"/>
            <charset val="1"/>
          </rPr>
          <t>PO 090 - 280 Case</t>
        </r>
      </text>
    </comment>
    <comment ref="EH121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<sst xmlns="http://schemas.openxmlformats.org/spreadsheetml/2006/main" count="1744" uniqueCount="632">
  <si>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</si>
  <si>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</si>
  <si>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</si>
  <si>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</si>
  <si>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</si>
  <si>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</si>
  <si>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</si>
  <si>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</si>
  <si>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</si>
  <si>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</si>
  <si>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</si>
  <si>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</si>
  <si>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</si>
  <si>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</si>
  <si>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</si>
  <si>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</si>
  <si>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</si>
  <si>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</si>
  <si>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</si>
  <si>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</si>
  <si>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</si>
  <si>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</si>
  <si>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</si>
  <si>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</si>
  <si>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</si>
  <si>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</si>
  <si>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</si>
  <si>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</si>
  <si>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</si>
  <si>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</si>
  <si>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</si>
  <si>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</si>
  <si>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</si>
  <si>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</si>
  <si>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</si>
  <si>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</si>
  <si>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</si>
  <si>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</si>
  <si>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</si>
  <si>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</si>
  <si>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</si>
  <si>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</si>
  <si>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</si>
  <si>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</si>
  <si>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</si>
  <si>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</si>
  <si>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</si>
  <si>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</si>
  <si>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</si>
  <si>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</si>
  <si>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</si>
  <si>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</si>
  <si>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</si>
  <si>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</si>
  <si>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</si>
  <si>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</si>
  <si>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</si>
  <si>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</si>
  <si>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</si>
  <si>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</si>
  <si>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</si>
  <si>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</si>
  <si>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</si>
  <si>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</si>
  <si>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</si>
  <si>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</si>
  <si>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</si>
  <si>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</si>
  <si>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</si>
  <si>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</si>
  <si>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</si>
  <si>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</si>
  <si>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</si>
  <si>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</si>
  <si>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</si>
  <si>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</si>
  <si>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</si>
  <si>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</si>
  <si>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</si>
  <si>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</si>
  <si>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</si>
  <si>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</si>
  <si>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</si>
  <si>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</si>
  <si>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</si>
  <si>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</si>
  <si>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</si>
  <si>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</si>
  <si>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</si>
  <si>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</si>
  <si>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</si>
  <si>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</si>
  <si>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</si>
  <si>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</si>
  <si>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</si>
  <si>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</si>
  <si>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</si>
  <si>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</si>
  <si>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</si>
  <si>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</si>
  <si>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</si>
  <si>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</si>
  <si>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</si>
  <si>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</si>
  <si>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</si>
  <si>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</si>
  <si>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</si>
  <si>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</si>
  <si>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</si>
  <si>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</si>
  <si>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</si>
  <si>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</si>
  <si>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</si>
  <si>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</si>
  <si>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</si>
  <si>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</si>
  <si>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</si>
  <si>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</si>
  <si>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</si>
  <si>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</si>
  <si>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</si>
  <si>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</si>
  <si>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</si>
  <si>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</si>
  <si>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</si>
  <si>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</si>
  <si>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</si>
  <si>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</si>
  <si>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</si>
  <si>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</si>
  <si>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</si>
  <si>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</si>
  <si>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</si>
  <si>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</si>
  <si>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</si>
  <si>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</si>
  <si>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</si>
  <si>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</si>
  <si>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</si>
  <si>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</si>
  <si>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</si>
  <si>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</si>
  <si>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</si>
  <si>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</si>
  <si>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</si>
  <si>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</si>
  <si>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</si>
  <si>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</si>
  <si>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</si>
  <si>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</si>
  <si>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</si>
  <si>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</si>
  <si>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</si>
  <si>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</si>
  <si>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</si>
  <si>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</si>
  <si>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</si>
  <si>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</si>
  <si>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</si>
  <si>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</si>
  <si>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</si>
  <si>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</si>
  <si>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</si>
  <si>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</si>
  <si>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</si>
  <si>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</si>
  <si>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</si>
  <si>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</si>
  <si>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</si>
  <si>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19624</t>
  </si>
  <si>
    <t>SRA15036348</t>
  </si>
  <si>
    <t>FH 23600</t>
  </si>
  <si>
    <t>AF 1934M</t>
  </si>
  <si>
    <t>AF 25413</t>
  </si>
  <si>
    <t>AF 25526</t>
  </si>
  <si>
    <t>AF 820M</t>
  </si>
  <si>
    <t>FF 185</t>
  </si>
  <si>
    <t>FS 19730</t>
  </si>
  <si>
    <t>LF 678</t>
  </si>
  <si>
    <t>LF 701</t>
  </si>
  <si>
    <t>P 821575(N)</t>
  </si>
  <si>
    <t>WF 2071</t>
  </si>
  <si>
    <t>WF 2073</t>
  </si>
  <si>
    <t>WF 2075</t>
  </si>
  <si>
    <t>WF 2076</t>
  </si>
  <si>
    <t>WF 2126</t>
  </si>
  <si>
    <t>LF 3379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</si>
  <si>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</si>
  <si>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</si>
  <si>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</si>
  <si>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</si>
  <si>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</si>
  <si>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</si>
  <si>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</si>
  <si>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</si>
  <si>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</si>
  <si>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</si>
  <si>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</si>
  <si>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</si>
  <si>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</si>
  <si>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</si>
  <si>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</si>
  <si>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VOE15067446</t>
  </si>
  <si>
    <t>VOE17429515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</si>
  <si>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</si>
  <si>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</si>
  <si>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</si>
  <si>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</si>
  <si>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</si>
  <si>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</si>
  <si>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</si>
  <si>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</si>
  <si>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</si>
  <si>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</si>
  <si>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</si>
  <si>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</si>
  <si>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</si>
  <si>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</si>
  <si>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</si>
  <si>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</si>
  <si>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022748-18</t>
  </si>
  <si>
    <t>032 11117</t>
  </si>
  <si>
    <t>50 PUMA2.15S</t>
  </si>
  <si>
    <t>801-02155223</t>
  </si>
  <si>
    <t>801-02155412-9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</si>
  <si>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</si>
  <si>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</si>
  <si>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</si>
  <si>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</si>
  <si>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</si>
  <si>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</si>
  <si>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</si>
  <si>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</si>
  <si>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</si>
  <si>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</si>
  <si>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</si>
  <si>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</si>
  <si>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</si>
  <si>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</si>
  <si>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</si>
  <si>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</si>
  <si>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</si>
  <si>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</si>
  <si>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</si>
  <si>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</si>
  <si>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</si>
  <si>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</si>
  <si>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</si>
  <si>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</si>
  <si>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</si>
  <si>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</si>
  <si>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</si>
  <si>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</si>
  <si>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</si>
  <si>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</si>
  <si>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</si>
  <si>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</si>
  <si>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</si>
  <si>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</si>
  <si>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</si>
  <si>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</si>
  <si>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75mm x 6m (N)</t>
  </si>
  <si>
    <t>single phase series</t>
  </si>
  <si>
    <t>three phase series</t>
  </si>
  <si>
    <t>65mm x 20mm</t>
  </si>
  <si>
    <t>Connector</t>
  </si>
  <si>
    <t>S-0001</t>
  </si>
  <si>
    <t>NRN0001</t>
  </si>
  <si>
    <t>SN 0001</t>
  </si>
  <si>
    <t>SRV2000 - 75B</t>
  </si>
  <si>
    <t>65mmx6m (N)</t>
  </si>
  <si>
    <t>HSD 2.55S</t>
  </si>
  <si>
    <t>CM-5WE-11S</t>
  </si>
  <si>
    <t>S4P-5/12, W4A 15</t>
  </si>
  <si>
    <t>W4A-15S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</si>
  <si>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</si>
  <si>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</si>
  <si>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</si>
  <si>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</si>
  <si>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</si>
  <si>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</si>
  <si>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</si>
  <si>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Bend 80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</si>
  <si>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</si>
  <si>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</si>
  <si>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</si>
  <si>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</si>
  <si>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</si>
  <si>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</si>
  <si>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</si>
  <si>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</si>
  <si>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</si>
  <si>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</si>
  <si>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</si>
  <si>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</si>
  <si>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</si>
  <si>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</si>
  <si>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</si>
  <si>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</si>
  <si>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</si>
  <si>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Z9Y</t>
  </si>
  <si>
    <t>PRG7C</t>
  </si>
  <si>
    <t>MH123535Q4-R</t>
  </si>
  <si>
    <t>RC10YC4</t>
  </si>
  <si>
    <t>Tube for Deutz Fahr Tyre(460/85R34)</t>
  </si>
  <si>
    <t>Tube for Wheel Loader Tyre (23.5R25)</t>
  </si>
  <si>
    <t>C1240</t>
  </si>
  <si>
    <t>Tube for Deutz Faur Tyre(11.2-16)</t>
  </si>
  <si>
    <t>Liner for Tyre Size 9.00R20</t>
  </si>
  <si>
    <t>Tube for TBR Tyre (10.00R20)</t>
  </si>
  <si>
    <t>ENGINE N (300g)</t>
  </si>
  <si>
    <t>ENGINE N(500g)</t>
  </si>
  <si>
    <t>Liner for Tyre Size 23.5x25</t>
  </si>
  <si>
    <t>Tube for Deutz Fahr Tyre(12.4-24)</t>
  </si>
  <si>
    <t>Tube for Deutz Faur Tyre(11.2-20)</t>
  </si>
  <si>
    <t>65mm x 20m (N)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</si>
  <si>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</si>
  <si>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</si>
  <si>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</si>
  <si>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</si>
  <si>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</si>
  <si>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</si>
  <si>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</si>
  <si>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</si>
  <si>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Hydraulic Oil VG-68</t>
  </si>
  <si>
    <t>W4A-30T</t>
  </si>
  <si>
    <t>W4N-15S</t>
  </si>
  <si>
    <t>Liner for Tyre Size 10.00R20</t>
  </si>
  <si>
    <t>CA510E</t>
  </si>
  <si>
    <t>HS 2.42 (2'')</t>
  </si>
  <si>
    <t>No Part No.</t>
  </si>
  <si>
    <t>KTZ33.7 (Flang)</t>
  </si>
  <si>
    <t>50U2.4S</t>
  </si>
  <si>
    <t>LH430 (380V)</t>
  </si>
  <si>
    <t>VOE17286292</t>
  </si>
  <si>
    <t>KRS2-69, 380V/50HZ</t>
  </si>
  <si>
    <t>801-02157418-9</t>
  </si>
  <si>
    <t>801-021F7812-9</t>
  </si>
  <si>
    <t>801-021F8017-9</t>
  </si>
  <si>
    <t>VOE17470368</t>
  </si>
  <si>
    <t>KTZ33.7</t>
  </si>
  <si>
    <t>801-02000036-9</t>
  </si>
  <si>
    <t>801-02100047-9</t>
  </si>
  <si>
    <t>801-020B1918-9</t>
  </si>
  <si>
    <t>TOS3-80-100</t>
  </si>
  <si>
    <t>LGG5301000284</t>
  </si>
  <si>
    <t>Bend 50</t>
  </si>
  <si>
    <t>Liner for Tyre Size 11.00R20</t>
  </si>
  <si>
    <t>Bend 80-100</t>
  </si>
  <si>
    <t>Battery of EDL1100SE</t>
  </si>
  <si>
    <t>Apr'18</t>
  </si>
  <si>
    <t>Valvoline Lithium Grease EP2, NLGI 2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</si>
  <si>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</si>
  <si>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</si>
  <si>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</si>
  <si>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</si>
  <si>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</si>
  <si>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</si>
  <si>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</si>
  <si>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</si>
  <si>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</si>
  <si>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</si>
  <si>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</si>
  <si>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</si>
  <si>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</si>
  <si>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</si>
  <si>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</si>
  <si>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</si>
  <si>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</si>
  <si>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</si>
  <si>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</si>
  <si>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</si>
  <si>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</si>
  <si>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</si>
  <si>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</si>
  <si>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</si>
  <si>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</si>
  <si>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</si>
  <si>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</si>
  <si>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May'18</t>
  </si>
  <si>
    <t>Jun'18</t>
  </si>
  <si>
    <t>Jul'18</t>
  </si>
  <si>
    <t>Aug'18</t>
  </si>
  <si>
    <t>Compressor Oil 32</t>
  </si>
  <si>
    <t>Sep'18</t>
  </si>
  <si>
    <t>Oct'18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</si>
  <si>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</si>
  <si>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</si>
  <si>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</si>
  <si>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</si>
  <si>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</si>
  <si>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</si>
  <si>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</si>
  <si>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</si>
  <si>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</si>
  <si>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</si>
  <si>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</si>
  <si>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</si>
  <si>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</si>
  <si>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</si>
  <si>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</si>
  <si>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</si>
  <si>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</si>
  <si>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</si>
  <si>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</si>
  <si>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</si>
  <si>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</si>
  <si>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MOQ - 48 CS</t>
  </si>
  <si>
    <t xml:space="preserve">Durablend 10W40 API SN Plus </t>
  </si>
  <si>
    <t>Apr'19</t>
  </si>
  <si>
    <t>Kg</t>
  </si>
  <si>
    <t>May'19</t>
  </si>
  <si>
    <t>MOQ - 48 Can</t>
  </si>
  <si>
    <t>MOQ - 168 CS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</si>
  <si>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</si>
  <si>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</si>
  <si>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</si>
  <si>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</si>
  <si>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</si>
  <si>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</si>
  <si>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</si>
  <si>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</si>
  <si>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</si>
  <si>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</si>
  <si>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</si>
  <si>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</si>
  <si>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</si>
  <si>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</si>
  <si>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</si>
  <si>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</si>
  <si>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</si>
  <si>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</si>
  <si>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</si>
  <si>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</si>
  <si>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</si>
  <si>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</si>
  <si>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</si>
  <si>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</si>
  <si>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</si>
  <si>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</si>
  <si>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</si>
  <si>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</si>
  <si>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</si>
  <si>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</si>
  <si>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</si>
  <si>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</si>
  <si>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</si>
  <si>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</si>
  <si>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</si>
  <si>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</si>
  <si>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</si>
  <si>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</si>
  <si>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</si>
  <si>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</si>
  <si>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</si>
  <si>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</si>
  <si>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</si>
  <si>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</si>
  <si>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</si>
  <si>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</si>
  <si>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</si>
  <si>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</si>
  <si>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</si>
  <si>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</si>
  <si>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</si>
  <si>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</si>
  <si>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</si>
  <si>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</si>
  <si>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</si>
  <si>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</si>
  <si>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</si>
  <si>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</si>
  <si>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</si>
  <si>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</si>
  <si>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</si>
  <si>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</si>
  <si>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</si>
  <si>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</si>
  <si>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</si>
  <si>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</si>
  <si>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</si>
  <si>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</si>
  <si>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</si>
  <si>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</si>
  <si>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</si>
  <si>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</si>
  <si>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</si>
  <si>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</si>
  <si>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</si>
  <si>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</si>
  <si>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</si>
  <si>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</si>
  <si>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</si>
  <si>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</si>
  <si>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</si>
  <si>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</si>
  <si>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</si>
  <si>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</si>
  <si>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</si>
  <si>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</si>
  <si>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</si>
  <si>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</si>
  <si>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</si>
  <si>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</si>
  <si>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</si>
  <si>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</si>
  <si>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</si>
  <si>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</si>
  <si>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</si>
  <si>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</si>
  <si>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</si>
  <si>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</si>
  <si>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</si>
  <si>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</si>
  <si>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</si>
  <si>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</si>
  <si>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</si>
  <si>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</si>
  <si>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</si>
  <si>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</si>
  <si>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</si>
  <si>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</si>
  <si>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</si>
  <si>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</si>
  <si>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</si>
  <si>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</si>
  <si>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</si>
  <si>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</si>
  <si>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</si>
  <si>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</si>
  <si>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</si>
  <si>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</si>
  <si>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</si>
  <si>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</si>
  <si>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</si>
  <si>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</si>
  <si>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</si>
  <si>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</si>
  <si>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</si>
  <si>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</si>
  <si>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</si>
  <si>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</si>
  <si>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</si>
  <si>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</si>
  <si>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</si>
  <si>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</si>
  <si>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</si>
  <si>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</si>
  <si>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</si>
  <si>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</si>
  <si>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</si>
  <si>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</si>
  <si>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</si>
  <si>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</si>
  <si>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</si>
  <si>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</si>
  <si>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</si>
  <si>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</si>
  <si>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</si>
  <si>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</si>
  <si>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</si>
  <si>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</si>
  <si>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</si>
  <si>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</si>
  <si>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</si>
  <si>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</si>
  <si>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</si>
  <si>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</si>
  <si>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</si>
  <si>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</si>
  <si>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</si>
  <si>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</si>
  <si>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</si>
  <si>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</si>
  <si>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</si>
  <si>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</si>
  <si>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</si>
  <si>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</si>
  <si>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</si>
  <si>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</si>
  <si>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</si>
  <si>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</si>
  <si>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</si>
  <si>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</si>
  <si>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</si>
  <si>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</si>
  <si>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</si>
  <si>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</si>
  <si>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</si>
  <si>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</si>
  <si>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</si>
  <si>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</si>
  <si>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</si>
  <si>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</si>
  <si>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</si>
  <si>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</si>
  <si>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</si>
  <si>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</si>
  <si>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</si>
  <si>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</si>
  <si>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</si>
  <si>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</si>
  <si>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</si>
  <si>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</si>
  <si>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</si>
  <si>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</si>
  <si>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</si>
  <si>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</si>
  <si>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</si>
  <si>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</si>
  <si>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</si>
  <si>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</si>
  <si>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</si>
  <si>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</si>
  <si>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</si>
  <si>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</si>
  <si>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</si>
  <si>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</si>
  <si>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</si>
  <si>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</si>
  <si>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</si>
  <si>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</si>
  <si>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</si>
  <si>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</si>
  <si>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</si>
  <si>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</si>
  <si>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Closing Balance Qty 21-8-24 &amp; Branch Closing  of 16-8-24</t>
  </si>
  <si>
    <t>250 Case</t>
  </si>
  <si>
    <t>200 Pail</t>
  </si>
  <si>
    <t>350 Case</t>
  </si>
  <si>
    <t>PO 134</t>
  </si>
  <si>
    <t>PO 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</si>
</sst>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D121"/>
  <sheetViews>
    <sheetView tabSelected="1" zoomScale="96" zoomScaleNormal="96" workbookViewId="0">
      <pane xSplit="9" ySplit="4" topLeftCell="J5" activePane="bottomRight" state="frozen"/>
      <selection pane="topRight" activeCell="J1" sqref="J1"/>
      <selection pane="bottomLeft" activeCell="A7" sqref="A7"/>
      <selection pane="bottomRight" activeCell="J128" sqref="J128"/>
    </sheetView>
  </sheetViews>
  <sheetFormatPr defaultRowHeight="15"/>
  <cols>
    <col min="1" max="1" width="8.28515625" style="4" bestFit="1" customWidth="1"/>
    <col min="2" max="2" width="10.85546875" style="5" bestFit="1" customWidth="1"/>
    <col min="3" max="3" width="29.5703125" style="4" customWidth="1"/>
    <col min="4" max="4" width="4.42578125" style="6" bestFit="1" customWidth="1"/>
    <col min="5" max="5" width="3.42578125" style="6" bestFit="1" customWidth="1"/>
    <col min="6" max="6" width="8.5703125" style="7" customWidth="1"/>
    <col min="7" max="7" width="6" style="6" customWidth="1"/>
    <col min="8" max="8" width="15.28515625" style="6" bestFit="1" customWidth="1"/>
    <col min="9" max="9" width="9.7109375" style="6" bestFit="1" customWidth="1"/>
    <col min="10" max="10" width="10.140625" style="3" customWidth="1"/>
    <col min="11" max="11" width="8.5703125" style="3" hidden="1" customWidth="1"/>
    <col min="12" max="12" width="9.5703125" style="3" hidden="1" customWidth="1"/>
    <col min="13" max="18" width="12.42578125" style="3" hidden="1" customWidth="1"/>
    <col min="19" max="19" width="14.28515625" style="3" hidden="1" customWidth="1"/>
    <col min="20" max="20" width="10.285156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33" width="8.7109375" style="4" hidden="1" customWidth="1"/>
    <col min="134" max="134" width="8.28515625" style="4" customWidth="1"/>
    <col min="135" max="135" width="9" style="4" customWidth="1"/>
    <col min="136" max="136" width="8.7109375" style="4" customWidth="1"/>
    <col min="137" max="137" width="9.5703125" style="4" hidden="1" customWidth="1"/>
    <col min="138" max="138" width="10.7109375" style="10" customWidth="1"/>
    <col min="139" max="139" width="10.7109375" style="10" hidden="1" customWidth="1"/>
    <col min="140" max="140" width="9.42578125" style="4" customWidth="1"/>
    <col min="141" max="146" width="5" style="4" hidden="1" customWidth="1"/>
    <col min="147" max="147" width="5.5703125" style="4" hidden="1" customWidth="1"/>
    <col min="148" max="151" width="5" style="4" hidden="1" customWidth="1"/>
    <col min="152" max="152" width="6.28515625" style="4" hidden="1" customWidth="1"/>
    <col min="153" max="153" width="6.7109375" style="4" hidden="1" customWidth="1"/>
    <col min="154" max="154" width="6.85546875" style="4" hidden="1" customWidth="1"/>
    <col min="155" max="155" width="7" style="4" hidden="1" customWidth="1"/>
    <col min="156" max="156" width="7.140625" style="4" hidden="1" customWidth="1"/>
    <col min="157" max="157" width="6.42578125" style="4" hidden="1" customWidth="1"/>
    <col min="158" max="158" width="5.85546875" style="4" hidden="1" customWidth="1"/>
    <col min="159" max="159" width="8.7109375" style="4" hidden="1" customWidth="1"/>
    <col min="160" max="168" width="8.5703125" style="4" hidden="1" customWidth="1"/>
    <col min="169" max="169" width="10.7109375" style="4" hidden="1" customWidth="1"/>
    <col min="170" max="171" width="18.85546875" style="4" hidden="1" customWidth="1"/>
    <col min="172" max="172" width="2.28515625" style="4" hidden="1" customWidth="1"/>
    <col min="173" max="173" width="13.85546875" style="4" hidden="1" customWidth="1"/>
    <col min="174" max="174" width="12.140625" style="4" hidden="1" customWidth="1"/>
    <col min="175" max="175" width="0.7109375" style="4" customWidth="1"/>
    <col min="176" max="184" width="0" style="4" hidden="1" customWidth="1"/>
    <col min="185" max="185" width="7.85546875" style="4" customWidth="1"/>
    <col min="186" max="16384" width="9.140625" style="4"/>
  </cols>
  <sheetData>
    <row r="1" spans="1:186">
      <c r="A1" s="1" t="s">
        <v>105</v>
      </c>
      <c r="B1" s="2"/>
      <c r="C1" s="4" t="s">
        <v>464</v>
      </c>
      <c r="J1" s="40"/>
      <c r="U1" s="122" t="s">
        <v>14</v>
      </c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2"/>
      <c r="CK1" s="122"/>
      <c r="CL1" s="122"/>
      <c r="CM1" s="122"/>
      <c r="CN1" s="122"/>
      <c r="CO1" s="122"/>
      <c r="CP1" s="122"/>
      <c r="CQ1" s="122"/>
      <c r="CR1" s="122"/>
      <c r="CS1" s="122"/>
      <c r="CT1" s="122"/>
      <c r="CU1" s="122"/>
      <c r="CV1" s="122"/>
      <c r="CW1" s="122"/>
      <c r="CX1" s="122"/>
      <c r="CY1" s="122"/>
      <c r="CZ1" s="122"/>
      <c r="DA1" s="122"/>
      <c r="DB1" s="122"/>
      <c r="DC1" s="122"/>
      <c r="DD1" s="122"/>
      <c r="DE1" s="122"/>
      <c r="DF1" s="122"/>
      <c r="DG1" s="122"/>
      <c r="DH1" s="122"/>
      <c r="DI1" s="122"/>
      <c r="DJ1" s="122"/>
      <c r="DK1" s="122"/>
      <c r="DL1" s="122"/>
      <c r="DM1" s="122"/>
      <c r="DN1" s="122"/>
      <c r="DO1" s="122"/>
      <c r="DP1" s="122"/>
      <c r="DQ1" s="122"/>
      <c r="DR1" s="122"/>
      <c r="DS1" s="122"/>
      <c r="DT1" s="122"/>
      <c r="DU1" s="122"/>
      <c r="DV1" s="122"/>
      <c r="DW1" s="122"/>
      <c r="DX1" s="122"/>
      <c r="DY1" s="122"/>
      <c r="DZ1" s="122"/>
      <c r="EA1" s="122"/>
      <c r="EB1" s="122"/>
      <c r="EC1" s="122"/>
      <c r="ED1" s="122"/>
      <c r="EK1" s="122" t="s">
        <v>13</v>
      </c>
      <c r="EL1" s="122"/>
      <c r="EM1" s="122"/>
      <c r="EN1" s="122"/>
      <c r="EO1" s="122"/>
      <c r="EP1" s="122"/>
      <c r="EQ1" s="122"/>
      <c r="ER1" s="122"/>
      <c r="ES1" s="122"/>
      <c r="ET1" s="122"/>
      <c r="EU1" s="122"/>
      <c r="EV1" s="122"/>
      <c r="EW1" s="122"/>
      <c r="EX1" s="122"/>
      <c r="EY1" s="122"/>
      <c r="EZ1" s="122"/>
      <c r="FA1" s="122"/>
      <c r="FB1" s="122"/>
      <c r="FC1" s="122"/>
      <c r="FD1" s="78"/>
      <c r="FE1" s="78"/>
      <c r="FF1" s="78"/>
      <c r="FG1" s="78"/>
      <c r="FH1" s="78"/>
      <c r="FI1" s="78"/>
      <c r="FJ1" s="78"/>
      <c r="FK1" s="78"/>
      <c r="FL1" s="78"/>
    </row>
    <row r="2" spans="1:186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H2" s="80"/>
      <c r="EI2" s="80"/>
      <c r="EJ2" s="32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 t="s">
        <v>110</v>
      </c>
      <c r="FD2" s="78"/>
      <c r="FE2" s="78"/>
      <c r="FF2" s="78"/>
      <c r="FG2" s="78"/>
      <c r="FH2" s="78"/>
      <c r="FI2" s="78"/>
      <c r="FJ2" s="78"/>
      <c r="FK2" s="78"/>
      <c r="FL2" s="78"/>
    </row>
    <row r="3" spans="1:186" ht="66.75" customHeight="1">
      <c r="A3" s="125" t="s">
        <v>5</v>
      </c>
      <c r="B3" s="127" t="s">
        <v>0</v>
      </c>
      <c r="C3" s="128" t="s">
        <v>1</v>
      </c>
      <c r="D3" s="131" t="s">
        <v>2</v>
      </c>
      <c r="E3" s="132"/>
      <c r="F3" s="132"/>
      <c r="G3" s="133"/>
      <c r="H3" s="128" t="s">
        <v>6</v>
      </c>
      <c r="I3" s="130" t="s">
        <v>3</v>
      </c>
      <c r="J3" s="134" t="s">
        <v>626</v>
      </c>
      <c r="K3" s="135" t="s">
        <v>9</v>
      </c>
      <c r="L3" s="135" t="s">
        <v>8</v>
      </c>
      <c r="M3" s="135" t="s">
        <v>7</v>
      </c>
      <c r="N3" s="77"/>
      <c r="O3" s="77"/>
      <c r="P3" s="77"/>
      <c r="Q3" s="77"/>
      <c r="R3" s="77"/>
      <c r="S3" s="77"/>
      <c r="T3" s="135" t="s">
        <v>12</v>
      </c>
      <c r="U3" s="123" t="s">
        <v>16</v>
      </c>
      <c r="V3" s="123" t="s">
        <v>17</v>
      </c>
      <c r="W3" s="123" t="s">
        <v>18</v>
      </c>
      <c r="X3" s="123" t="s">
        <v>19</v>
      </c>
      <c r="Y3" s="123" t="s">
        <v>20</v>
      </c>
      <c r="Z3" s="123" t="s">
        <v>21</v>
      </c>
      <c r="AA3" s="123" t="s">
        <v>77</v>
      </c>
      <c r="AB3" s="123" t="s">
        <v>78</v>
      </c>
      <c r="AC3" s="137" t="s">
        <v>79</v>
      </c>
      <c r="AD3" s="123" t="s">
        <v>83</v>
      </c>
      <c r="AE3" s="123" t="s">
        <v>89</v>
      </c>
      <c r="AF3" s="123" t="s">
        <v>92</v>
      </c>
      <c r="AG3" s="123" t="s">
        <v>99</v>
      </c>
      <c r="AH3" s="123" t="s">
        <v>100</v>
      </c>
      <c r="AI3" s="123" t="s">
        <v>101</v>
      </c>
      <c r="AJ3" s="123" t="s">
        <v>102</v>
      </c>
      <c r="AK3" s="123" t="s">
        <v>103</v>
      </c>
      <c r="AL3" s="123" t="s">
        <v>106</v>
      </c>
      <c r="AM3" s="123" t="s">
        <v>115</v>
      </c>
      <c r="AN3" s="123" t="s">
        <v>116</v>
      </c>
      <c r="AO3" s="123" t="s">
        <v>117</v>
      </c>
      <c r="AP3" s="123" t="s">
        <v>120</v>
      </c>
      <c r="AQ3" s="123" t="s">
        <v>121</v>
      </c>
      <c r="AR3" s="123" t="s">
        <v>122</v>
      </c>
      <c r="AS3" s="123" t="s">
        <v>123</v>
      </c>
      <c r="AT3" s="123" t="s">
        <v>126</v>
      </c>
      <c r="AU3" s="123" t="s">
        <v>141</v>
      </c>
      <c r="AV3" s="123" t="s">
        <v>143</v>
      </c>
      <c r="AW3" s="123" t="s">
        <v>146</v>
      </c>
      <c r="AX3" s="123" t="s">
        <v>147</v>
      </c>
      <c r="AY3" s="123" t="s">
        <v>148</v>
      </c>
      <c r="AZ3" s="123" t="s">
        <v>155</v>
      </c>
      <c r="BA3" s="123" t="s">
        <v>156</v>
      </c>
      <c r="BB3" s="123" t="s">
        <v>157</v>
      </c>
      <c r="BC3" s="123" t="s">
        <v>158</v>
      </c>
      <c r="BD3" s="123" t="s">
        <v>159</v>
      </c>
      <c r="BE3" s="123" t="s">
        <v>160</v>
      </c>
      <c r="BF3" s="123" t="s">
        <v>161</v>
      </c>
      <c r="BG3" s="123" t="s">
        <v>350</v>
      </c>
      <c r="BH3" s="123" t="s">
        <v>379</v>
      </c>
      <c r="BI3" s="123" t="s">
        <v>380</v>
      </c>
      <c r="BJ3" s="123" t="s">
        <v>381</v>
      </c>
      <c r="BK3" s="123" t="s">
        <v>382</v>
      </c>
      <c r="BL3" s="123" t="s">
        <v>384</v>
      </c>
      <c r="BM3" s="123" t="s">
        <v>385</v>
      </c>
      <c r="BN3" s="123" t="s">
        <v>397</v>
      </c>
      <c r="BO3" s="123" t="s">
        <v>398</v>
      </c>
      <c r="BP3" s="123" t="s">
        <v>399</v>
      </c>
      <c r="BQ3" s="123" t="s">
        <v>400</v>
      </c>
      <c r="BR3" s="123" t="s">
        <v>406</v>
      </c>
      <c r="BS3" s="123" t="s">
        <v>409</v>
      </c>
      <c r="BT3" s="123" t="s">
        <v>411</v>
      </c>
      <c r="BU3" s="123" t="s">
        <v>417</v>
      </c>
      <c r="BV3" s="123" t="s">
        <v>448</v>
      </c>
      <c r="BW3" s="123" t="s">
        <v>449</v>
      </c>
      <c r="BX3" s="123" t="s">
        <v>450</v>
      </c>
      <c r="BY3" s="123" t="s">
        <v>451</v>
      </c>
      <c r="BZ3" s="123" t="s">
        <v>461</v>
      </c>
      <c r="CA3" s="123" t="s">
        <v>462</v>
      </c>
      <c r="CB3" s="123" t="s">
        <v>463</v>
      </c>
      <c r="CC3" s="123" t="s">
        <v>465</v>
      </c>
      <c r="CD3" s="123" t="s">
        <v>468</v>
      </c>
      <c r="CE3" s="123" t="s">
        <v>471</v>
      </c>
      <c r="CF3" s="123" t="s">
        <v>472</v>
      </c>
      <c r="CG3" s="123" t="s">
        <v>473</v>
      </c>
      <c r="CH3" s="123" t="s">
        <v>474</v>
      </c>
      <c r="CI3" s="123" t="s">
        <v>495</v>
      </c>
      <c r="CJ3" s="123" t="s">
        <v>498</v>
      </c>
      <c r="CK3" s="123" t="s">
        <v>502</v>
      </c>
      <c r="CL3" s="123" t="s">
        <v>511</v>
      </c>
      <c r="CM3" s="123" t="s">
        <v>512</v>
      </c>
      <c r="CN3" s="123" t="s">
        <v>513</v>
      </c>
      <c r="CO3" s="123" t="s">
        <v>514</v>
      </c>
      <c r="CP3" s="123" t="s">
        <v>515</v>
      </c>
      <c r="CQ3" s="123" t="s">
        <v>523</v>
      </c>
      <c r="CR3" s="123" t="s">
        <v>524</v>
      </c>
      <c r="CS3" s="123" t="s">
        <v>525</v>
      </c>
      <c r="CT3" s="123" t="s">
        <v>526</v>
      </c>
      <c r="CU3" s="123" t="s">
        <v>528</v>
      </c>
      <c r="CV3" s="123" t="s">
        <v>529</v>
      </c>
      <c r="CW3" s="123" t="s">
        <v>530</v>
      </c>
      <c r="CX3" s="123" t="s">
        <v>531</v>
      </c>
      <c r="CY3" s="123" t="s">
        <v>540</v>
      </c>
      <c r="CZ3" s="123" t="s">
        <v>545</v>
      </c>
      <c r="DA3" s="123" t="s">
        <v>546</v>
      </c>
      <c r="DB3" s="123" t="s">
        <v>547</v>
      </c>
      <c r="DC3" s="123" t="s">
        <v>548</v>
      </c>
      <c r="DD3" s="123" t="s">
        <v>550</v>
      </c>
      <c r="DE3" s="123" t="s">
        <v>551</v>
      </c>
      <c r="DF3" s="123" t="s">
        <v>552</v>
      </c>
      <c r="DG3" s="123" t="s">
        <v>553</v>
      </c>
      <c r="DH3" s="123" t="s">
        <v>571</v>
      </c>
      <c r="DI3" s="123" t="s">
        <v>572</v>
      </c>
      <c r="DJ3" s="123" t="s">
        <v>576</v>
      </c>
      <c r="DK3" s="123" t="s">
        <v>578</v>
      </c>
      <c r="DL3" s="123" t="s">
        <v>581</v>
      </c>
      <c r="DM3" s="123" t="s">
        <v>584</v>
      </c>
      <c r="DN3" s="123" t="s">
        <v>585</v>
      </c>
      <c r="DO3" s="123" t="s">
        <v>594</v>
      </c>
      <c r="DP3" s="123" t="s">
        <v>603</v>
      </c>
      <c r="DQ3" s="123" t="s">
        <v>605</v>
      </c>
      <c r="DR3" s="123" t="s">
        <v>606</v>
      </c>
      <c r="DS3" s="123" t="s">
        <v>607</v>
      </c>
      <c r="DT3" s="123" t="s">
        <v>610</v>
      </c>
      <c r="DU3" s="123" t="s">
        <v>611</v>
      </c>
      <c r="DV3" s="123" t="s">
        <v>614</v>
      </c>
      <c r="DW3" s="123" t="s">
        <v>615</v>
      </c>
      <c r="DX3" s="123" t="s">
        <v>616</v>
      </c>
      <c r="DY3" s="123" t="s">
        <v>619</v>
      </c>
      <c r="DZ3" s="123" t="s">
        <v>620</v>
      </c>
      <c r="EA3" s="123" t="s">
        <v>621</v>
      </c>
      <c r="EB3" s="123" t="s">
        <v>623</v>
      </c>
      <c r="EC3" s="123" t="s">
        <v>624</v>
      </c>
      <c r="ED3" s="135" t="s">
        <v>622</v>
      </c>
      <c r="EE3" s="134" t="s">
        <v>11</v>
      </c>
      <c r="EF3" s="141" t="s">
        <v>4</v>
      </c>
      <c r="EH3" s="142" t="s">
        <v>15</v>
      </c>
      <c r="EI3" s="81"/>
      <c r="EK3" s="123" t="s">
        <v>16</v>
      </c>
      <c r="EL3" s="123" t="s">
        <v>17</v>
      </c>
      <c r="EM3" s="123" t="s">
        <v>18</v>
      </c>
      <c r="EN3" s="123" t="s">
        <v>19</v>
      </c>
      <c r="EO3" s="123" t="s">
        <v>20</v>
      </c>
      <c r="EP3" s="123" t="s">
        <v>21</v>
      </c>
      <c r="EQ3" s="123" t="s">
        <v>77</v>
      </c>
      <c r="ER3" s="123" t="s">
        <v>78</v>
      </c>
      <c r="ES3" s="123" t="s">
        <v>79</v>
      </c>
      <c r="ET3" s="123" t="s">
        <v>83</v>
      </c>
      <c r="EU3" s="123" t="s">
        <v>89</v>
      </c>
      <c r="EV3" s="123" t="s">
        <v>92</v>
      </c>
      <c r="EW3" s="123" t="s">
        <v>99</v>
      </c>
      <c r="EX3" s="123" t="s">
        <v>100</v>
      </c>
      <c r="EY3" s="123" t="s">
        <v>101</v>
      </c>
      <c r="EZ3" s="123" t="s">
        <v>102</v>
      </c>
      <c r="FA3" s="123" t="s">
        <v>103</v>
      </c>
      <c r="FB3" s="123" t="s">
        <v>106</v>
      </c>
      <c r="FC3" s="123" t="s">
        <v>115</v>
      </c>
      <c r="FD3" s="123" t="s">
        <v>116</v>
      </c>
      <c r="FE3" s="123" t="s">
        <v>117</v>
      </c>
      <c r="FF3" s="123" t="s">
        <v>120</v>
      </c>
      <c r="FG3" s="123" t="s">
        <v>121</v>
      </c>
      <c r="FH3" s="123" t="s">
        <v>122</v>
      </c>
      <c r="FI3" s="123" t="s">
        <v>123</v>
      </c>
      <c r="FJ3" s="123" t="s">
        <v>126</v>
      </c>
      <c r="FK3" s="123" t="s">
        <v>141</v>
      </c>
      <c r="FL3" s="123" t="s">
        <v>143</v>
      </c>
      <c r="FM3" s="144" t="s">
        <v>10</v>
      </c>
      <c r="FN3" s="143" t="s">
        <v>11</v>
      </c>
      <c r="FO3" s="141" t="s">
        <v>4</v>
      </c>
    </row>
    <row r="4" spans="1:186" ht="66.75" customHeight="1">
      <c r="A4" s="126"/>
      <c r="B4" s="127"/>
      <c r="C4" s="129"/>
      <c r="D4" s="42"/>
      <c r="E4" s="29"/>
      <c r="F4" s="29"/>
      <c r="G4" s="43"/>
      <c r="H4" s="129"/>
      <c r="I4" s="127"/>
      <c r="J4" s="127"/>
      <c r="K4" s="136"/>
      <c r="L4" s="136"/>
      <c r="M4" s="126"/>
      <c r="N4" s="75" t="s">
        <v>402</v>
      </c>
      <c r="O4" s="75" t="s">
        <v>403</v>
      </c>
      <c r="P4" s="75" t="s">
        <v>404</v>
      </c>
      <c r="Q4" s="75" t="s">
        <v>405</v>
      </c>
      <c r="R4" s="75" t="s">
        <v>352</v>
      </c>
      <c r="S4" s="75" t="s">
        <v>353</v>
      </c>
      <c r="T4" s="139"/>
      <c r="U4" s="124"/>
      <c r="V4" s="124"/>
      <c r="W4" s="124"/>
      <c r="X4" s="124"/>
      <c r="Y4" s="124"/>
      <c r="Z4" s="124"/>
      <c r="AA4" s="124"/>
      <c r="AB4" s="124"/>
      <c r="AC4" s="138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124"/>
      <c r="BN4" s="124"/>
      <c r="BO4" s="124"/>
      <c r="BP4" s="124"/>
      <c r="BQ4" s="124"/>
      <c r="BR4" s="124"/>
      <c r="BS4" s="124"/>
      <c r="BT4" s="124"/>
      <c r="BU4" s="124"/>
      <c r="BV4" s="124"/>
      <c r="BW4" s="124"/>
      <c r="BX4" s="124"/>
      <c r="BY4" s="124"/>
      <c r="BZ4" s="124"/>
      <c r="CA4" s="124"/>
      <c r="CB4" s="124"/>
      <c r="CC4" s="124"/>
      <c r="CD4" s="124"/>
      <c r="CE4" s="124"/>
      <c r="CF4" s="124"/>
      <c r="CG4" s="124"/>
      <c r="CH4" s="124"/>
      <c r="CI4" s="124"/>
      <c r="CJ4" s="124"/>
      <c r="CK4" s="124"/>
      <c r="CL4" s="124"/>
      <c r="CM4" s="124"/>
      <c r="CN4" s="124"/>
      <c r="CO4" s="124"/>
      <c r="CP4" s="124"/>
      <c r="CQ4" s="124"/>
      <c r="CR4" s="124"/>
      <c r="CS4" s="124"/>
      <c r="CT4" s="124"/>
      <c r="CU4" s="124"/>
      <c r="CV4" s="124"/>
      <c r="CW4" s="124"/>
      <c r="CX4" s="124"/>
      <c r="CY4" s="124"/>
      <c r="CZ4" s="124"/>
      <c r="DA4" s="124"/>
      <c r="DB4" s="124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6"/>
      <c r="EE4" s="140"/>
      <c r="EF4" s="141"/>
      <c r="EG4" s="33"/>
      <c r="EH4" s="142"/>
      <c r="EI4" s="81"/>
      <c r="EJ4" s="9" t="s">
        <v>98</v>
      </c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45"/>
      <c r="FN4" s="143"/>
      <c r="FO4" s="141"/>
      <c r="FT4" s="4" t="s">
        <v>494</v>
      </c>
      <c r="FU4" s="4" t="s">
        <v>496</v>
      </c>
      <c r="FV4" s="4" t="s">
        <v>497</v>
      </c>
      <c r="FW4" s="4" t="s">
        <v>504</v>
      </c>
      <c r="FX4" s="4" t="s">
        <v>505</v>
      </c>
      <c r="FY4" s="4" t="s">
        <v>506</v>
      </c>
      <c r="FZ4" s="4" t="s">
        <v>507</v>
      </c>
      <c r="GA4" s="4" t="s">
        <v>508</v>
      </c>
      <c r="GB4" s="4" t="s">
        <v>509</v>
      </c>
      <c r="GC4" s="4" t="s">
        <v>630</v>
      </c>
      <c r="GD4" s="4" t="s">
        <v>631</v>
      </c>
    </row>
    <row r="5" spans="1:186" s="10" customFormat="1" hidden="1">
      <c r="A5" s="12">
        <v>1</v>
      </c>
      <c r="B5" s="13" t="s">
        <v>22</v>
      </c>
      <c r="C5" s="13" t="s">
        <v>23</v>
      </c>
      <c r="D5" s="14">
        <v>24</v>
      </c>
      <c r="E5" s="14" t="s">
        <v>24</v>
      </c>
      <c r="F5" s="19">
        <v>1</v>
      </c>
      <c r="G5" s="14" t="s">
        <v>25</v>
      </c>
      <c r="H5" s="15">
        <v>692247</v>
      </c>
      <c r="I5" s="15" t="s">
        <v>26</v>
      </c>
      <c r="J5" s="16">
        <v>711</v>
      </c>
      <c r="K5" s="20"/>
      <c r="L5" s="20">
        <f>480*24</f>
        <v>11520</v>
      </c>
      <c r="M5" s="20">
        <f>11520</f>
        <v>11520</v>
      </c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17">
        <f>AVERAGE(DZ5:EC5)</f>
        <v>2754.75</v>
      </c>
      <c r="EE5" s="17">
        <f t="shared" ref="EE5:EE35" si="0">(J5+K5+L5+M5)-(N5+O5+P5+Q5+T5+R5+S5+ED5)</f>
        <v>20996.25</v>
      </c>
      <c r="EF5" s="16">
        <f>(ED5*6)-EE5</f>
        <v>-4467.75</v>
      </c>
      <c r="EG5" s="18"/>
      <c r="EH5" s="12">
        <f>40*12*24</f>
        <v>11520</v>
      </c>
      <c r="EI5" s="80"/>
      <c r="EJ5" s="10" t="s">
        <v>96</v>
      </c>
      <c r="EK5" s="12">
        <v>1488</v>
      </c>
      <c r="EL5" s="12">
        <v>1584</v>
      </c>
      <c r="EM5" s="12">
        <v>1776</v>
      </c>
      <c r="EN5" s="12">
        <v>3649</v>
      </c>
      <c r="EO5" s="12">
        <v>721</v>
      </c>
      <c r="EP5" s="12">
        <v>2568</v>
      </c>
      <c r="EQ5" s="12">
        <v>1141</v>
      </c>
      <c r="ER5" s="12">
        <v>1304</v>
      </c>
      <c r="ES5" s="12">
        <v>1270</v>
      </c>
      <c r="ET5" s="12">
        <v>792</v>
      </c>
      <c r="EU5" s="12">
        <v>1094</v>
      </c>
      <c r="EV5" s="12">
        <v>711</v>
      </c>
      <c r="EW5" s="12">
        <v>1042</v>
      </c>
      <c r="EX5" s="12">
        <v>1004</v>
      </c>
      <c r="EY5" s="12">
        <v>301</v>
      </c>
      <c r="EZ5" s="12">
        <v>763</v>
      </c>
      <c r="FA5" s="12">
        <v>1937</v>
      </c>
      <c r="FB5" s="12">
        <v>1957</v>
      </c>
      <c r="FC5" s="35">
        <v>853</v>
      </c>
      <c r="FD5" s="35">
        <v>1742</v>
      </c>
      <c r="FE5" s="35">
        <v>1239</v>
      </c>
      <c r="FF5" s="35">
        <v>3333</v>
      </c>
      <c r="FG5" s="35">
        <v>1609</v>
      </c>
      <c r="FH5" s="35">
        <v>1617</v>
      </c>
      <c r="FI5" s="35">
        <v>5059</v>
      </c>
      <c r="FJ5" s="35">
        <v>2165</v>
      </c>
      <c r="FK5" s="35" t="e">
        <f>VLOOKUP(H5,#REF!,2,)</f>
        <v>#REF!</v>
      </c>
      <c r="FL5" s="35">
        <v>1655</v>
      </c>
      <c r="FM5" s="16" t="e">
        <f>AVERAGE(FF5:FL5)</f>
        <v>#REF!</v>
      </c>
      <c r="FN5" s="16" t="e">
        <f>(J5+K5+L5+M5)-(T5+FM5)</f>
        <v>#REF!</v>
      </c>
      <c r="FO5" s="44" t="e">
        <f>(FM5*3)-FN5</f>
        <v>#REF!</v>
      </c>
      <c r="FR5" s="74">
        <f t="shared" ref="FR5:FR34" si="1">EH5*F5</f>
        <v>11520</v>
      </c>
      <c r="FT5" s="10">
        <f>40*3</f>
        <v>120</v>
      </c>
      <c r="FX5" s="10">
        <f>40*5</f>
        <v>200</v>
      </c>
      <c r="GB5" s="10">
        <v>40</v>
      </c>
    </row>
    <row r="6" spans="1:186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17">
        <f t="shared" ref="ED6:ED68" si="2">AVERAGE(DZ6:EC6)</f>
        <v>0</v>
      </c>
      <c r="EE6" s="17">
        <f t="shared" si="0"/>
        <v>0</v>
      </c>
      <c r="EF6" s="16">
        <f>(ED6*2)-EE6</f>
        <v>0</v>
      </c>
      <c r="EG6" s="18"/>
      <c r="EH6" s="12">
        <v>0</v>
      </c>
      <c r="EI6" s="80"/>
      <c r="EJ6" s="10" t="s">
        <v>96</v>
      </c>
      <c r="EK6" s="12">
        <v>0</v>
      </c>
      <c r="EL6" s="12">
        <v>0</v>
      </c>
      <c r="EM6" s="12">
        <v>0</v>
      </c>
      <c r="EN6" s="12">
        <v>72</v>
      </c>
      <c r="EO6" s="12">
        <v>0</v>
      </c>
      <c r="EP6" s="12">
        <v>120</v>
      </c>
      <c r="EQ6" s="12">
        <v>0</v>
      </c>
      <c r="ER6" s="12">
        <v>0</v>
      </c>
      <c r="ES6" s="12">
        <v>0</v>
      </c>
      <c r="ET6" s="12">
        <v>0</v>
      </c>
      <c r="EU6" s="12">
        <v>126</v>
      </c>
      <c r="EV6" s="12">
        <v>120</v>
      </c>
      <c r="EW6" s="12">
        <v>120</v>
      </c>
      <c r="EX6" s="12">
        <v>120</v>
      </c>
      <c r="EY6" s="12">
        <v>0</v>
      </c>
      <c r="EZ6" s="12">
        <v>73</v>
      </c>
      <c r="FA6" s="12">
        <v>72</v>
      </c>
      <c r="FB6" s="12">
        <v>48</v>
      </c>
      <c r="FC6" s="35">
        <v>0</v>
      </c>
      <c r="FD6" s="35">
        <v>0</v>
      </c>
      <c r="FE6" s="35">
        <v>75</v>
      </c>
      <c r="FF6" s="35">
        <v>0</v>
      </c>
      <c r="FG6" s="35">
        <v>48</v>
      </c>
      <c r="FH6" s="35">
        <v>0</v>
      </c>
      <c r="FI6" s="35">
        <v>0</v>
      </c>
      <c r="FJ6" s="35">
        <v>0</v>
      </c>
      <c r="FK6" s="35" t="e">
        <f>VLOOKUP(H6,#REF!,2,)</f>
        <v>#REF!</v>
      </c>
      <c r="FL6" s="35">
        <v>0</v>
      </c>
      <c r="FM6" s="16" t="e">
        <f t="shared" ref="FM6:FM69" si="3">AVERAGE(FF6:FL6)</f>
        <v>#REF!</v>
      </c>
      <c r="FN6" s="16" t="e">
        <f>(J6+K6+L6+M6)-(T6+FM6)</f>
        <v>#REF!</v>
      </c>
      <c r="FO6" s="44" t="e">
        <f t="shared" ref="FO6:FO69" si="4">(FM6*2)-FN6</f>
        <v>#REF!</v>
      </c>
      <c r="FR6" s="74">
        <f t="shared" si="1"/>
        <v>0</v>
      </c>
    </row>
    <row r="7" spans="1:186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200</v>
      </c>
      <c r="K7" s="12"/>
      <c r="L7" s="12"/>
      <c r="M7" s="12">
        <f>(40*24)+960</f>
        <v>1920</v>
      </c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17">
        <f t="shared" si="2"/>
        <v>24.5</v>
      </c>
      <c r="EE7" s="17">
        <f t="shared" si="0"/>
        <v>2095.5</v>
      </c>
      <c r="EF7" s="16">
        <f>(ED7*4)-EE7</f>
        <v>-1997.5</v>
      </c>
      <c r="EG7" s="18"/>
      <c r="EH7" s="12">
        <f>40*24</f>
        <v>960</v>
      </c>
      <c r="EI7" s="80"/>
      <c r="EJ7" s="10" t="s">
        <v>96</v>
      </c>
      <c r="EK7" s="12">
        <v>446</v>
      </c>
      <c r="EL7" s="12">
        <v>171</v>
      </c>
      <c r="EM7" s="12">
        <v>930</v>
      </c>
      <c r="EN7" s="12">
        <v>973</v>
      </c>
      <c r="EO7" s="12">
        <v>572</v>
      </c>
      <c r="EP7" s="12">
        <v>527</v>
      </c>
      <c r="EQ7" s="12">
        <v>582</v>
      </c>
      <c r="ER7" s="12">
        <v>563</v>
      </c>
      <c r="ES7" s="12">
        <v>471</v>
      </c>
      <c r="ET7" s="12">
        <v>149</v>
      </c>
      <c r="EU7" s="12">
        <v>1054</v>
      </c>
      <c r="EV7" s="12">
        <v>270</v>
      </c>
      <c r="EW7" s="12">
        <v>190</v>
      </c>
      <c r="EX7" s="12">
        <v>708</v>
      </c>
      <c r="EY7" s="12">
        <v>253</v>
      </c>
      <c r="EZ7" s="12">
        <v>880</v>
      </c>
      <c r="FA7" s="12">
        <v>715</v>
      </c>
      <c r="FB7" s="12">
        <v>360</v>
      </c>
      <c r="FC7" s="35">
        <v>384</v>
      </c>
      <c r="FD7" s="35">
        <v>122</v>
      </c>
      <c r="FE7" s="35">
        <v>210</v>
      </c>
      <c r="FF7" s="35">
        <v>450</v>
      </c>
      <c r="FG7" s="35">
        <v>337</v>
      </c>
      <c r="FH7" s="35">
        <v>744</v>
      </c>
      <c r="FI7" s="35">
        <v>422</v>
      </c>
      <c r="FJ7" s="35">
        <v>265</v>
      </c>
      <c r="FK7" s="35" t="e">
        <f>VLOOKUP(H7,#REF!,2,)</f>
        <v>#REF!</v>
      </c>
      <c r="FL7" s="35">
        <v>473</v>
      </c>
      <c r="FM7" s="16" t="e">
        <f t="shared" si="3"/>
        <v>#REF!</v>
      </c>
      <c r="FN7" s="16" t="e">
        <f>(J7+K7+L7+M7)-(T7+FM7)</f>
        <v>#REF!</v>
      </c>
      <c r="FO7" s="44" t="e">
        <f t="shared" si="4"/>
        <v>#REF!</v>
      </c>
      <c r="FR7" s="74">
        <f t="shared" si="1"/>
        <v>960</v>
      </c>
    </row>
    <row r="8" spans="1:186" s="10" customFormat="1" hidden="1">
      <c r="A8" s="12">
        <v>4</v>
      </c>
      <c r="B8" s="13" t="s">
        <v>22</v>
      </c>
      <c r="C8" s="13" t="s">
        <v>27</v>
      </c>
      <c r="D8" s="14">
        <v>1</v>
      </c>
      <c r="E8" s="14" t="s">
        <v>24</v>
      </c>
      <c r="F8" s="19">
        <v>200</v>
      </c>
      <c r="G8" s="14" t="s">
        <v>25</v>
      </c>
      <c r="H8" s="15">
        <v>692052</v>
      </c>
      <c r="I8" s="15" t="s">
        <v>28</v>
      </c>
      <c r="J8" s="16">
        <v>4</v>
      </c>
      <c r="K8" s="20"/>
      <c r="L8" s="20">
        <f>80+40</f>
        <v>120</v>
      </c>
      <c r="M8" s="20">
        <f>80+80+80</f>
        <v>240</v>
      </c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17">
        <f t="shared" si="2"/>
        <v>45</v>
      </c>
      <c r="EE8" s="17">
        <f t="shared" si="0"/>
        <v>319</v>
      </c>
      <c r="EF8" s="16">
        <f>(ED8*6)-EE8</f>
        <v>-49</v>
      </c>
      <c r="EG8" s="18"/>
      <c r="EH8" s="12">
        <f>80*3</f>
        <v>240</v>
      </c>
      <c r="EI8" s="80"/>
      <c r="EJ8" s="10" t="s">
        <v>93</v>
      </c>
      <c r="EK8" s="12">
        <v>67</v>
      </c>
      <c r="EL8" s="12">
        <v>110</v>
      </c>
      <c r="EM8" s="12">
        <v>148</v>
      </c>
      <c r="EN8" s="12">
        <v>172</v>
      </c>
      <c r="EO8" s="12">
        <v>96</v>
      </c>
      <c r="EP8" s="12">
        <v>75</v>
      </c>
      <c r="EQ8" s="12">
        <v>43</v>
      </c>
      <c r="ER8" s="12">
        <v>162</v>
      </c>
      <c r="ES8" s="12">
        <v>145</v>
      </c>
      <c r="ET8" s="12">
        <v>209</v>
      </c>
      <c r="EU8" s="12">
        <v>438</v>
      </c>
      <c r="EV8" s="12">
        <v>276</v>
      </c>
      <c r="EW8" s="12">
        <v>64</v>
      </c>
      <c r="EX8" s="12">
        <v>262</v>
      </c>
      <c r="EY8" s="12">
        <v>149.06</v>
      </c>
      <c r="EZ8" s="12">
        <v>147</v>
      </c>
      <c r="FA8" s="12">
        <v>138</v>
      </c>
      <c r="FB8" s="12">
        <v>77</v>
      </c>
      <c r="FC8" s="35">
        <v>89</v>
      </c>
      <c r="FD8" s="35">
        <v>32</v>
      </c>
      <c r="FE8" s="35">
        <v>69</v>
      </c>
      <c r="FF8" s="35">
        <v>78</v>
      </c>
      <c r="FG8" s="35">
        <v>62</v>
      </c>
      <c r="FH8" s="35">
        <v>135</v>
      </c>
      <c r="FI8" s="35">
        <v>69</v>
      </c>
      <c r="FJ8" s="35">
        <v>97</v>
      </c>
      <c r="FK8" s="35" t="e">
        <f>VLOOKUP(H8,#REF!,2,)</f>
        <v>#REF!</v>
      </c>
      <c r="FL8" s="35">
        <v>78</v>
      </c>
      <c r="FM8" s="16" t="e">
        <f t="shared" si="3"/>
        <v>#REF!</v>
      </c>
      <c r="FN8" s="16" t="e">
        <f>(J8+K8+#REF!+L8)-(T8+FM8)</f>
        <v>#REF!</v>
      </c>
      <c r="FO8" s="44" t="e">
        <f t="shared" si="4"/>
        <v>#REF!</v>
      </c>
      <c r="FR8" s="74">
        <f t="shared" si="1"/>
        <v>48000</v>
      </c>
      <c r="FT8" s="10">
        <v>20</v>
      </c>
      <c r="FW8" s="10">
        <v>80</v>
      </c>
      <c r="GA8" s="10">
        <v>80</v>
      </c>
    </row>
    <row r="9" spans="1:186" s="10" customFormat="1" hidden="1">
      <c r="A9" s="12">
        <v>5</v>
      </c>
      <c r="B9" s="13" t="s">
        <v>22</v>
      </c>
      <c r="C9" s="13" t="s">
        <v>27</v>
      </c>
      <c r="D9" s="14">
        <v>1</v>
      </c>
      <c r="E9" s="14" t="s">
        <v>24</v>
      </c>
      <c r="F9" s="19">
        <v>18</v>
      </c>
      <c r="G9" s="14" t="s">
        <v>25</v>
      </c>
      <c r="H9" s="15">
        <v>692053</v>
      </c>
      <c r="I9" s="15" t="s">
        <v>29</v>
      </c>
      <c r="J9" s="16">
        <v>8.038888888888323</v>
      </c>
      <c r="K9" s="87"/>
      <c r="L9" s="87">
        <f>240+336</f>
        <v>576</v>
      </c>
      <c r="M9" s="87">
        <f>480+816+192+288</f>
        <v>1776</v>
      </c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17">
        <f t="shared" si="2"/>
        <v>168.25</v>
      </c>
      <c r="EE9" s="17">
        <f t="shared" si="0"/>
        <v>2191.7888888888883</v>
      </c>
      <c r="EF9" s="16">
        <f>(ED9*6)-EE9</f>
        <v>-1182.2888888888883</v>
      </c>
      <c r="EG9" s="18"/>
      <c r="EH9" s="12">
        <f>48*30</f>
        <v>1440</v>
      </c>
      <c r="EI9" s="80">
        <f>EH9*18</f>
        <v>25920</v>
      </c>
      <c r="EJ9" s="10" t="s">
        <v>412</v>
      </c>
      <c r="EK9" s="12">
        <v>255</v>
      </c>
      <c r="EL9" s="12">
        <v>362</v>
      </c>
      <c r="EM9" s="12">
        <v>356</v>
      </c>
      <c r="EN9" s="12">
        <v>569</v>
      </c>
      <c r="EO9" s="12">
        <v>421</v>
      </c>
      <c r="EP9" s="12">
        <v>269</v>
      </c>
      <c r="EQ9" s="12">
        <v>386</v>
      </c>
      <c r="ER9" s="12">
        <v>312</v>
      </c>
      <c r="ES9" s="12">
        <v>329</v>
      </c>
      <c r="ET9" s="12">
        <v>312</v>
      </c>
      <c r="EU9" s="12">
        <v>289</v>
      </c>
      <c r="EV9" s="12">
        <v>337</v>
      </c>
      <c r="EW9" s="12">
        <v>429</v>
      </c>
      <c r="EX9" s="12">
        <v>537</v>
      </c>
      <c r="EY9" s="12">
        <v>332</v>
      </c>
      <c r="EZ9" s="12">
        <v>669</v>
      </c>
      <c r="FA9" s="12">
        <v>571</v>
      </c>
      <c r="FB9" s="12">
        <v>299</v>
      </c>
      <c r="FC9" s="35">
        <v>495</v>
      </c>
      <c r="FD9" s="35">
        <v>169</v>
      </c>
      <c r="FE9" s="35">
        <v>364</v>
      </c>
      <c r="FF9" s="35">
        <v>391</v>
      </c>
      <c r="FG9" s="35">
        <v>496</v>
      </c>
      <c r="FH9" s="35">
        <v>537</v>
      </c>
      <c r="FI9" s="35">
        <v>403</v>
      </c>
      <c r="FJ9" s="35">
        <v>699.05555555555554</v>
      </c>
      <c r="FK9" s="35" t="e">
        <f>VLOOKUP(H9,#REF!,2,)</f>
        <v>#REF!</v>
      </c>
      <c r="FL9" s="35">
        <v>593</v>
      </c>
      <c r="FM9" s="16" t="e">
        <f t="shared" si="3"/>
        <v>#REF!</v>
      </c>
      <c r="FN9" s="16" t="e">
        <f>(J9+K9+#REF!+L9)-(T9+FM9)</f>
        <v>#REF!</v>
      </c>
      <c r="FO9" s="44" t="e">
        <f t="shared" si="4"/>
        <v>#REF!</v>
      </c>
      <c r="FR9" s="74">
        <f t="shared" si="1"/>
        <v>25920</v>
      </c>
      <c r="FU9" s="10">
        <v>240</v>
      </c>
      <c r="FX9" s="10">
        <f>48*5</f>
        <v>240</v>
      </c>
      <c r="GB9" s="10">
        <f>48*2</f>
        <v>96</v>
      </c>
    </row>
    <row r="10" spans="1:186" s="10" customFormat="1" hidden="1">
      <c r="A10" s="12">
        <v>6</v>
      </c>
      <c r="B10" s="13" t="s">
        <v>22</v>
      </c>
      <c r="C10" s="13" t="s">
        <v>27</v>
      </c>
      <c r="D10" s="14">
        <v>4</v>
      </c>
      <c r="E10" s="14" t="s">
        <v>24</v>
      </c>
      <c r="F10" s="19">
        <v>5</v>
      </c>
      <c r="G10" s="14" t="s">
        <v>25</v>
      </c>
      <c r="H10" s="15">
        <v>692054</v>
      </c>
      <c r="I10" s="15" t="s">
        <v>26</v>
      </c>
      <c r="J10" s="16">
        <v>36</v>
      </c>
      <c r="K10" s="12"/>
      <c r="L10" s="12"/>
      <c r="M10" s="12">
        <f>(48*4)+(48*4)</f>
        <v>384</v>
      </c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17">
        <f t="shared" si="2"/>
        <v>52.25</v>
      </c>
      <c r="EE10" s="17">
        <f t="shared" si="0"/>
        <v>367.75</v>
      </c>
      <c r="EF10" s="16">
        <f>(ED10*6)-EE10</f>
        <v>-54.25</v>
      </c>
      <c r="EG10" s="18"/>
      <c r="EH10" s="12">
        <f>48*4</f>
        <v>192</v>
      </c>
      <c r="EI10" s="80"/>
      <c r="EJ10" s="10" t="s">
        <v>407</v>
      </c>
      <c r="EK10" s="12">
        <v>659</v>
      </c>
      <c r="EL10" s="12">
        <v>502</v>
      </c>
      <c r="EM10" s="12">
        <v>525</v>
      </c>
      <c r="EN10" s="12">
        <v>765</v>
      </c>
      <c r="EO10" s="12">
        <v>756</v>
      </c>
      <c r="EP10" s="12">
        <v>351</v>
      </c>
      <c r="EQ10" s="12">
        <v>444</v>
      </c>
      <c r="ER10" s="12">
        <v>460</v>
      </c>
      <c r="ES10" s="12">
        <v>629</v>
      </c>
      <c r="ET10" s="12">
        <v>269</v>
      </c>
      <c r="EU10" s="12">
        <v>609</v>
      </c>
      <c r="EV10" s="12">
        <v>379</v>
      </c>
      <c r="EW10" s="12">
        <v>313</v>
      </c>
      <c r="EX10" s="12">
        <v>627</v>
      </c>
      <c r="EY10" s="12">
        <v>401</v>
      </c>
      <c r="EZ10" s="12">
        <v>774</v>
      </c>
      <c r="FA10" s="12">
        <v>718</v>
      </c>
      <c r="FB10" s="12">
        <v>547</v>
      </c>
      <c r="FC10" s="35">
        <v>574</v>
      </c>
      <c r="FD10" s="35">
        <v>312</v>
      </c>
      <c r="FE10" s="35">
        <v>251</v>
      </c>
      <c r="FF10" s="35">
        <v>807</v>
      </c>
      <c r="FG10" s="35">
        <v>694</v>
      </c>
      <c r="FH10" s="35">
        <v>560</v>
      </c>
      <c r="FI10" s="35">
        <v>901</v>
      </c>
      <c r="FJ10" s="35">
        <v>767</v>
      </c>
      <c r="FK10" s="35" t="e">
        <f>VLOOKUP(H10,#REF!,2,)</f>
        <v>#REF!</v>
      </c>
      <c r="FL10" s="35">
        <v>554</v>
      </c>
      <c r="FM10" s="16" t="e">
        <f t="shared" si="3"/>
        <v>#REF!</v>
      </c>
      <c r="FN10" s="16" t="e">
        <f>(J10+K10+#REF!+L10)-(T10+FM10)</f>
        <v>#REF!</v>
      </c>
      <c r="FO10" s="44" t="e">
        <f>(FM10*3)-FN10</f>
        <v>#REF!</v>
      </c>
      <c r="FR10" s="74">
        <f t="shared" si="1"/>
        <v>960</v>
      </c>
      <c r="FX10" s="10">
        <f>48</f>
        <v>48</v>
      </c>
    </row>
    <row r="11" spans="1:186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64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17">
        <f t="shared" si="2"/>
        <v>23.5</v>
      </c>
      <c r="EE11" s="17">
        <f t="shared" si="0"/>
        <v>40.5</v>
      </c>
      <c r="EF11" s="16">
        <f>(ED11*4)-EE11</f>
        <v>53.5</v>
      </c>
      <c r="EG11" s="18"/>
      <c r="EH11" s="12">
        <v>0</v>
      </c>
      <c r="EI11" s="80">
        <f>EH11*5</f>
        <v>0</v>
      </c>
      <c r="EJ11" s="10" t="s">
        <v>407</v>
      </c>
      <c r="EK11" s="12">
        <v>76</v>
      </c>
      <c r="EL11" s="12">
        <v>176</v>
      </c>
      <c r="EM11" s="12">
        <v>136</v>
      </c>
      <c r="EN11" s="12">
        <v>176</v>
      </c>
      <c r="EO11" s="12">
        <v>244</v>
      </c>
      <c r="EP11" s="12">
        <v>343</v>
      </c>
      <c r="EQ11" s="12">
        <v>212</v>
      </c>
      <c r="ER11" s="12">
        <v>148</v>
      </c>
      <c r="ES11" s="12">
        <v>85</v>
      </c>
      <c r="ET11" s="12">
        <v>48</v>
      </c>
      <c r="EU11" s="12">
        <v>94</v>
      </c>
      <c r="EV11" s="12">
        <v>132</v>
      </c>
      <c r="EW11" s="12">
        <v>132</v>
      </c>
      <c r="EX11" s="12">
        <v>127</v>
      </c>
      <c r="EY11" s="12">
        <v>14</v>
      </c>
      <c r="EZ11" s="12">
        <v>210</v>
      </c>
      <c r="FA11" s="12">
        <v>246</v>
      </c>
      <c r="FB11" s="12">
        <v>63</v>
      </c>
      <c r="FC11" s="35">
        <v>166</v>
      </c>
      <c r="FD11" s="35">
        <v>76</v>
      </c>
      <c r="FE11" s="35">
        <v>88</v>
      </c>
      <c r="FF11" s="35">
        <v>204</v>
      </c>
      <c r="FG11" s="35">
        <v>76</v>
      </c>
      <c r="FH11" s="35">
        <v>186</v>
      </c>
      <c r="FI11" s="35">
        <v>192</v>
      </c>
      <c r="FJ11" s="35">
        <v>216</v>
      </c>
      <c r="FK11" s="35" t="e">
        <f>VLOOKUP(H11,#REF!,2,)</f>
        <v>#REF!</v>
      </c>
      <c r="FL11" s="35">
        <v>96</v>
      </c>
      <c r="FM11" s="16" t="e">
        <f t="shared" si="3"/>
        <v>#REF!</v>
      </c>
      <c r="FN11" s="16" t="e">
        <f>(J11+K11+#REF!+L11)-(T11+FM11)</f>
        <v>#REF!</v>
      </c>
      <c r="FO11" s="44" t="e">
        <f t="shared" si="4"/>
        <v>#REF!</v>
      </c>
      <c r="FR11" s="74">
        <f t="shared" si="1"/>
        <v>0</v>
      </c>
    </row>
    <row r="12" spans="1:186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102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17">
        <f t="shared" si="2"/>
        <v>0</v>
      </c>
      <c r="EE12" s="17">
        <f t="shared" si="0"/>
        <v>102</v>
      </c>
      <c r="EF12" s="16">
        <f t="shared" ref="EF12:EF69" si="5">(ED12*2)-EE12</f>
        <v>-102</v>
      </c>
      <c r="EG12" s="18"/>
      <c r="EH12" s="12">
        <v>0</v>
      </c>
      <c r="EI12" s="80"/>
      <c r="EJ12" s="10" t="s">
        <v>96</v>
      </c>
      <c r="EK12" s="12">
        <v>73</v>
      </c>
      <c r="EL12" s="12">
        <v>85</v>
      </c>
      <c r="EM12" s="12">
        <v>105</v>
      </c>
      <c r="EN12" s="12">
        <v>180</v>
      </c>
      <c r="EO12" s="12">
        <v>72</v>
      </c>
      <c r="EP12" s="12">
        <v>371</v>
      </c>
      <c r="EQ12" s="12">
        <v>270</v>
      </c>
      <c r="ER12" s="12">
        <v>84</v>
      </c>
      <c r="ES12" s="12">
        <v>60</v>
      </c>
      <c r="ET12" s="12">
        <v>0</v>
      </c>
      <c r="EU12" s="12">
        <v>46</v>
      </c>
      <c r="EV12" s="12">
        <v>28</v>
      </c>
      <c r="EW12" s="12">
        <v>114</v>
      </c>
      <c r="EX12" s="12">
        <v>180</v>
      </c>
      <c r="EY12" s="12">
        <v>0</v>
      </c>
      <c r="EZ12" s="12">
        <v>132</v>
      </c>
      <c r="FA12" s="12">
        <v>226</v>
      </c>
      <c r="FB12" s="12">
        <v>390</v>
      </c>
      <c r="FC12" s="35">
        <v>2</v>
      </c>
      <c r="FD12" s="35">
        <v>24</v>
      </c>
      <c r="FE12" s="35">
        <v>48</v>
      </c>
      <c r="FF12" s="35">
        <v>22</v>
      </c>
      <c r="FG12" s="35">
        <v>120</v>
      </c>
      <c r="FH12" s="35">
        <v>41</v>
      </c>
      <c r="FI12" s="35">
        <v>72</v>
      </c>
      <c r="FJ12" s="35">
        <v>171</v>
      </c>
      <c r="FK12" s="35" t="e">
        <f>VLOOKUP(H12,#REF!,2,)</f>
        <v>#REF!</v>
      </c>
      <c r="FL12" s="35">
        <v>120</v>
      </c>
      <c r="FM12" s="16" t="e">
        <f t="shared" si="3"/>
        <v>#REF!</v>
      </c>
      <c r="FN12" s="16" t="e">
        <f>(J12+K12+#REF!+L12)-(T12+FM12)</f>
        <v>#REF!</v>
      </c>
      <c r="FO12" s="44" t="e">
        <f t="shared" si="4"/>
        <v>#REF!</v>
      </c>
      <c r="FR12" s="74">
        <f t="shared" si="1"/>
        <v>0</v>
      </c>
    </row>
    <row r="13" spans="1:186" s="10" customFormat="1" hidden="1">
      <c r="A13" s="12">
        <v>9</v>
      </c>
      <c r="B13" s="13" t="s">
        <v>22</v>
      </c>
      <c r="C13" s="13" t="s">
        <v>31</v>
      </c>
      <c r="D13" s="14">
        <v>24</v>
      </c>
      <c r="E13" s="14" t="s">
        <v>24</v>
      </c>
      <c r="F13" s="19">
        <v>1</v>
      </c>
      <c r="G13" s="14" t="s">
        <v>25</v>
      </c>
      <c r="H13" s="15">
        <v>692249</v>
      </c>
      <c r="I13" s="15" t="s">
        <v>26</v>
      </c>
      <c r="J13" s="16">
        <v>966</v>
      </c>
      <c r="K13" s="20"/>
      <c r="L13" s="20">
        <f>(600*24)+(200*24)</f>
        <v>19200</v>
      </c>
      <c r="M13" s="20">
        <f>10560+3840</f>
        <v>14400</v>
      </c>
      <c r="N13" s="12"/>
      <c r="O13" s="12"/>
      <c r="P13" s="12"/>
      <c r="Q13" s="12"/>
      <c r="R13" s="12"/>
      <c r="S13" s="12"/>
      <c r="T13" s="12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17">
        <f t="shared" si="2"/>
        <v>4872.5</v>
      </c>
      <c r="EE13" s="17">
        <f t="shared" si="0"/>
        <v>20093.5</v>
      </c>
      <c r="EF13" s="16">
        <f>(ED13*6)-EE13</f>
        <v>9141.5</v>
      </c>
      <c r="EG13" s="18"/>
      <c r="EH13" s="12">
        <f>40*15*24</f>
        <v>14400</v>
      </c>
      <c r="EI13" s="80">
        <f>EH13*1</f>
        <v>14400</v>
      </c>
      <c r="EJ13" s="10" t="s">
        <v>96</v>
      </c>
      <c r="EK13" s="12">
        <v>4800</v>
      </c>
      <c r="EL13" s="12">
        <v>7192</v>
      </c>
      <c r="EM13" s="12">
        <v>5136</v>
      </c>
      <c r="EN13" s="12">
        <v>8233</v>
      </c>
      <c r="EO13" s="12">
        <v>5545</v>
      </c>
      <c r="EP13" s="12">
        <v>7015</v>
      </c>
      <c r="EQ13" s="12">
        <v>4863</v>
      </c>
      <c r="ER13" s="12">
        <v>4973</v>
      </c>
      <c r="ES13" s="12">
        <v>4315</v>
      </c>
      <c r="ET13" s="12">
        <v>6180</v>
      </c>
      <c r="EU13" s="12">
        <v>5242</v>
      </c>
      <c r="EV13" s="12">
        <v>5195</v>
      </c>
      <c r="EW13" s="12">
        <v>4897</v>
      </c>
      <c r="EX13" s="12">
        <v>6619</v>
      </c>
      <c r="EY13" s="12">
        <v>2281</v>
      </c>
      <c r="EZ13" s="12">
        <v>5871</v>
      </c>
      <c r="FA13" s="12">
        <v>8736</v>
      </c>
      <c r="FB13" s="12">
        <v>5868</v>
      </c>
      <c r="FC13" s="35">
        <v>2253</v>
      </c>
      <c r="FD13" s="35">
        <v>6274</v>
      </c>
      <c r="FE13" s="35">
        <v>7217</v>
      </c>
      <c r="FF13" s="35">
        <v>8242</v>
      </c>
      <c r="FG13" s="35">
        <v>8857</v>
      </c>
      <c r="FH13" s="35">
        <v>9992</v>
      </c>
      <c r="FI13" s="35">
        <v>13721</v>
      </c>
      <c r="FJ13" s="35">
        <v>11443</v>
      </c>
      <c r="FK13" s="35" t="e">
        <f>VLOOKUP(H13,#REF!,2,)</f>
        <v>#REF!</v>
      </c>
      <c r="FL13" s="35">
        <v>7295</v>
      </c>
      <c r="FM13" s="16" t="e">
        <f t="shared" si="3"/>
        <v>#REF!</v>
      </c>
      <c r="FN13" s="16" t="e">
        <f>(J13+K13+#REF!+L13)-(T13+FM13)</f>
        <v>#REF!</v>
      </c>
      <c r="FO13" s="44" t="e">
        <f>(FM13*3)-FN13</f>
        <v>#REF!</v>
      </c>
      <c r="FR13" s="74">
        <f t="shared" si="1"/>
        <v>14400</v>
      </c>
      <c r="FV13" s="10">
        <f>40*7</f>
        <v>280</v>
      </c>
      <c r="FY13" s="10">
        <f>40*9</f>
        <v>360</v>
      </c>
      <c r="GB13" s="10">
        <f>40*4</f>
        <v>160</v>
      </c>
    </row>
    <row r="14" spans="1:186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17">
        <f t="shared" si="2"/>
        <v>0</v>
      </c>
      <c r="EE14" s="17">
        <f t="shared" si="0"/>
        <v>0</v>
      </c>
      <c r="EF14" s="16">
        <f t="shared" si="5"/>
        <v>0</v>
      </c>
      <c r="EG14" s="18"/>
      <c r="EH14" s="12">
        <v>0</v>
      </c>
      <c r="EI14" s="80"/>
      <c r="EJ14" s="10" t="s">
        <v>96</v>
      </c>
      <c r="EK14" s="12">
        <v>0</v>
      </c>
      <c r="EL14" s="12">
        <v>240</v>
      </c>
      <c r="EM14" s="12">
        <v>408</v>
      </c>
      <c r="EN14" s="12">
        <v>48</v>
      </c>
      <c r="EO14" s="12">
        <v>360</v>
      </c>
      <c r="EP14" s="12">
        <v>120</v>
      </c>
      <c r="EQ14" s="12">
        <v>360</v>
      </c>
      <c r="ER14" s="12">
        <v>301</v>
      </c>
      <c r="ES14" s="12">
        <v>48</v>
      </c>
      <c r="ET14" s="12">
        <v>0</v>
      </c>
      <c r="EU14" s="12">
        <v>720</v>
      </c>
      <c r="EV14" s="12">
        <v>24</v>
      </c>
      <c r="EW14" s="12">
        <v>120</v>
      </c>
      <c r="EX14" s="12">
        <v>264</v>
      </c>
      <c r="EY14" s="12">
        <v>0</v>
      </c>
      <c r="EZ14" s="12">
        <v>145</v>
      </c>
      <c r="FA14" s="12">
        <v>312</v>
      </c>
      <c r="FB14" s="12">
        <v>240</v>
      </c>
      <c r="FC14" s="35">
        <v>360</v>
      </c>
      <c r="FD14" s="35">
        <v>168</v>
      </c>
      <c r="FE14" s="35">
        <v>0</v>
      </c>
      <c r="FF14" s="35">
        <v>312</v>
      </c>
      <c r="FG14" s="35">
        <v>48</v>
      </c>
      <c r="FH14" s="35">
        <v>528</v>
      </c>
      <c r="FI14" s="35">
        <v>0</v>
      </c>
      <c r="FJ14" s="35">
        <v>312</v>
      </c>
      <c r="FK14" s="35" t="e">
        <f>VLOOKUP(H14,#REF!,2,)</f>
        <v>#REF!</v>
      </c>
      <c r="FL14" s="35">
        <v>0</v>
      </c>
      <c r="FM14" s="16" t="e">
        <f t="shared" si="3"/>
        <v>#REF!</v>
      </c>
      <c r="FN14" s="16" t="e">
        <f t="shared" ref="FN14:FN32" si="6">(J14+K14+L14+M14)-(T14+FM14)</f>
        <v>#REF!</v>
      </c>
      <c r="FO14" s="44" t="e">
        <f t="shared" si="4"/>
        <v>#REF!</v>
      </c>
      <c r="FR14" s="74">
        <f t="shared" si="1"/>
        <v>0</v>
      </c>
    </row>
    <row r="15" spans="1:186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17">
        <f t="shared" si="2"/>
        <v>0</v>
      </c>
      <c r="EE15" s="17">
        <f t="shared" si="0"/>
        <v>0</v>
      </c>
      <c r="EF15" s="16">
        <f t="shared" ref="EF15:EF16" si="7">(ED15*3)-EE15</f>
        <v>0</v>
      </c>
      <c r="EG15" s="18"/>
      <c r="EH15" s="12">
        <v>0</v>
      </c>
      <c r="EI15" s="80">
        <f>EH15*1</f>
        <v>0</v>
      </c>
      <c r="EJ15" s="10" t="s">
        <v>418</v>
      </c>
      <c r="EK15" s="12">
        <v>600</v>
      </c>
      <c r="EL15" s="12">
        <v>48</v>
      </c>
      <c r="EM15" s="12">
        <v>240</v>
      </c>
      <c r="EN15" s="12">
        <v>589</v>
      </c>
      <c r="EO15" s="12">
        <v>131</v>
      </c>
      <c r="EP15" s="12">
        <v>816</v>
      </c>
      <c r="EQ15" s="12">
        <v>360</v>
      </c>
      <c r="ER15" s="12">
        <v>209</v>
      </c>
      <c r="ES15" s="12">
        <v>0</v>
      </c>
      <c r="ET15" s="12">
        <v>0</v>
      </c>
      <c r="EU15" s="12">
        <v>24</v>
      </c>
      <c r="EV15" s="12">
        <v>169</v>
      </c>
      <c r="EW15" s="12">
        <v>133</v>
      </c>
      <c r="EX15" s="12">
        <v>120</v>
      </c>
      <c r="EY15" s="12">
        <v>0</v>
      </c>
      <c r="EZ15" s="12">
        <v>120</v>
      </c>
      <c r="FA15" s="12">
        <v>72</v>
      </c>
      <c r="FB15" s="12">
        <v>144</v>
      </c>
      <c r="FC15" s="35">
        <v>144</v>
      </c>
      <c r="FD15" s="35">
        <v>0</v>
      </c>
      <c r="FE15" s="35">
        <v>0</v>
      </c>
      <c r="FF15" s="35">
        <v>120</v>
      </c>
      <c r="FG15" s="35">
        <v>116</v>
      </c>
      <c r="FH15" s="35">
        <v>192</v>
      </c>
      <c r="FI15" s="35">
        <v>120</v>
      </c>
      <c r="FJ15" s="35">
        <v>18</v>
      </c>
      <c r="FK15" s="35" t="e">
        <f>VLOOKUP(H15,#REF!,2,)</f>
        <v>#REF!</v>
      </c>
      <c r="FL15" s="35">
        <v>72</v>
      </c>
      <c r="FM15" s="16" t="e">
        <f t="shared" si="3"/>
        <v>#REF!</v>
      </c>
      <c r="FN15" s="16" t="e">
        <f t="shared" si="6"/>
        <v>#REF!</v>
      </c>
      <c r="FO15" s="44" t="e">
        <f t="shared" si="4"/>
        <v>#REF!</v>
      </c>
      <c r="FP15" s="10" t="s">
        <v>108</v>
      </c>
      <c r="FR15" s="74">
        <f t="shared" si="1"/>
        <v>0</v>
      </c>
    </row>
    <row r="16" spans="1:186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5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17">
        <f t="shared" si="2"/>
        <v>0</v>
      </c>
      <c r="EE16" s="17">
        <f t="shared" si="0"/>
        <v>5</v>
      </c>
      <c r="EF16" s="16">
        <f t="shared" si="7"/>
        <v>-5</v>
      </c>
      <c r="EG16" s="18"/>
      <c r="EH16" s="12">
        <v>0</v>
      </c>
      <c r="EI16" s="80">
        <f>EH16*1</f>
        <v>0</v>
      </c>
      <c r="EJ16" s="10" t="s">
        <v>418</v>
      </c>
      <c r="EK16" s="12">
        <v>48</v>
      </c>
      <c r="EL16" s="12">
        <v>192</v>
      </c>
      <c r="EM16" s="12">
        <v>0</v>
      </c>
      <c r="EN16" s="12">
        <v>49</v>
      </c>
      <c r="EO16" s="12">
        <v>480</v>
      </c>
      <c r="EP16" s="12">
        <v>576</v>
      </c>
      <c r="EQ16" s="12">
        <v>264</v>
      </c>
      <c r="ER16" s="12">
        <v>174</v>
      </c>
      <c r="ES16" s="12">
        <v>386</v>
      </c>
      <c r="ET16" s="12">
        <v>240</v>
      </c>
      <c r="EU16" s="12">
        <v>168</v>
      </c>
      <c r="EV16" s="12">
        <v>50</v>
      </c>
      <c r="EW16" s="12">
        <v>0</v>
      </c>
      <c r="EX16" s="12">
        <v>25</v>
      </c>
      <c r="EY16" s="12">
        <v>0</v>
      </c>
      <c r="EZ16" s="12">
        <v>0</v>
      </c>
      <c r="FA16" s="12">
        <v>0</v>
      </c>
      <c r="FB16" s="12">
        <v>93</v>
      </c>
      <c r="FC16" s="35">
        <v>27</v>
      </c>
      <c r="FD16" s="35">
        <v>48</v>
      </c>
      <c r="FE16" s="35">
        <v>24</v>
      </c>
      <c r="FF16" s="35">
        <v>24</v>
      </c>
      <c r="FG16" s="35">
        <v>34</v>
      </c>
      <c r="FH16" s="35">
        <v>0</v>
      </c>
      <c r="FI16" s="35">
        <v>0</v>
      </c>
      <c r="FJ16" s="35">
        <v>120</v>
      </c>
      <c r="FK16" s="35" t="e">
        <f>VLOOKUP(H16,#REF!,2,)</f>
        <v>#REF!</v>
      </c>
      <c r="FL16" s="35">
        <v>0</v>
      </c>
      <c r="FM16" s="16" t="e">
        <f t="shared" si="3"/>
        <v>#REF!</v>
      </c>
      <c r="FN16" s="16" t="e">
        <f t="shared" si="6"/>
        <v>#REF!</v>
      </c>
      <c r="FO16" s="44" t="e">
        <f t="shared" si="4"/>
        <v>#REF!</v>
      </c>
      <c r="FR16" s="74">
        <f t="shared" si="1"/>
        <v>0</v>
      </c>
    </row>
    <row r="17" spans="1:18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17">
        <f t="shared" si="2"/>
        <v>0</v>
      </c>
      <c r="EE17" s="17">
        <f t="shared" si="0"/>
        <v>0</v>
      </c>
      <c r="EF17" s="16">
        <f t="shared" si="5"/>
        <v>0</v>
      </c>
      <c r="EG17" s="18"/>
      <c r="EH17" s="12">
        <v>0</v>
      </c>
      <c r="EI17" s="80"/>
      <c r="EJ17" s="10" t="s">
        <v>124</v>
      </c>
      <c r="EK17" s="12">
        <v>264</v>
      </c>
      <c r="EL17" s="12">
        <v>48</v>
      </c>
      <c r="EM17" s="12">
        <v>48</v>
      </c>
      <c r="EN17" s="12">
        <v>141</v>
      </c>
      <c r="EO17" s="12">
        <v>48</v>
      </c>
      <c r="EP17" s="12">
        <v>480</v>
      </c>
      <c r="EQ17" s="12">
        <v>0</v>
      </c>
      <c r="ER17" s="12">
        <v>7</v>
      </c>
      <c r="ES17" s="12">
        <v>107</v>
      </c>
      <c r="ET17" s="12">
        <v>2</v>
      </c>
      <c r="EU17" s="12">
        <v>179</v>
      </c>
      <c r="EV17" s="12">
        <v>96</v>
      </c>
      <c r="EW17" s="12">
        <v>636</v>
      </c>
      <c r="EX17" s="12">
        <v>48</v>
      </c>
      <c r="EY17" s="12">
        <v>24</v>
      </c>
      <c r="EZ17" s="12">
        <v>150</v>
      </c>
      <c r="FA17" s="12">
        <v>24</v>
      </c>
      <c r="FB17" s="12">
        <v>24</v>
      </c>
      <c r="FC17" s="35">
        <v>96</v>
      </c>
      <c r="FD17" s="35">
        <v>53</v>
      </c>
      <c r="FE17" s="35">
        <v>73</v>
      </c>
      <c r="FF17" s="35">
        <v>216</v>
      </c>
      <c r="FG17" s="35">
        <v>216</v>
      </c>
      <c r="FH17" s="35">
        <v>152</v>
      </c>
      <c r="FI17" s="35">
        <v>24</v>
      </c>
      <c r="FJ17" s="35">
        <v>176</v>
      </c>
      <c r="FK17" s="35" t="e">
        <f>VLOOKUP(H17,#REF!,2,)</f>
        <v>#REF!</v>
      </c>
      <c r="FL17" s="35">
        <v>96</v>
      </c>
      <c r="FM17" s="16" t="e">
        <f t="shared" si="3"/>
        <v>#REF!</v>
      </c>
      <c r="FN17" s="16" t="e">
        <f t="shared" si="6"/>
        <v>#REF!</v>
      </c>
      <c r="FO17" s="44" t="e">
        <f t="shared" si="4"/>
        <v>#REF!</v>
      </c>
      <c r="FP17" s="10" t="s">
        <v>108</v>
      </c>
      <c r="FR17" s="74">
        <f t="shared" si="1"/>
        <v>0</v>
      </c>
    </row>
    <row r="18" spans="1:182" s="10" customFormat="1" hidden="1">
      <c r="A18" s="12">
        <v>14</v>
      </c>
      <c r="B18" s="13" t="s">
        <v>22</v>
      </c>
      <c r="C18" s="13" t="s">
        <v>35</v>
      </c>
      <c r="D18" s="14">
        <v>1</v>
      </c>
      <c r="E18" s="14" t="s">
        <v>24</v>
      </c>
      <c r="F18" s="19">
        <v>18</v>
      </c>
      <c r="G18" s="14" t="s">
        <v>36</v>
      </c>
      <c r="H18" s="15">
        <v>793317</v>
      </c>
      <c r="I18" s="15" t="s">
        <v>29</v>
      </c>
      <c r="J18" s="16">
        <v>50</v>
      </c>
      <c r="K18" s="20"/>
      <c r="L18" s="20"/>
      <c r="M18" s="20">
        <f>(27*2)+(54)</f>
        <v>108</v>
      </c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17">
        <f t="shared" si="2"/>
        <v>6.25</v>
      </c>
      <c r="EE18" s="17">
        <f t="shared" si="0"/>
        <v>151.75</v>
      </c>
      <c r="EF18" s="16">
        <f>(ED18*6)-EE18</f>
        <v>-114.25</v>
      </c>
      <c r="EG18" s="18"/>
      <c r="EH18" s="12">
        <f>27*2</f>
        <v>54</v>
      </c>
      <c r="EI18" s="80">
        <f>EH18*20</f>
        <v>1080</v>
      </c>
      <c r="EJ18" s="10" t="s">
        <v>114</v>
      </c>
      <c r="EK18" s="12">
        <v>14</v>
      </c>
      <c r="EL18" s="12">
        <v>42</v>
      </c>
      <c r="EM18" s="12">
        <v>35</v>
      </c>
      <c r="EN18" s="12">
        <v>98</v>
      </c>
      <c r="EO18" s="12">
        <v>14</v>
      </c>
      <c r="EP18" s="12">
        <v>1</v>
      </c>
      <c r="EQ18" s="12">
        <v>62</v>
      </c>
      <c r="ER18" s="12">
        <v>49</v>
      </c>
      <c r="ES18" s="12">
        <v>39</v>
      </c>
      <c r="ET18" s="12">
        <v>8</v>
      </c>
      <c r="EU18" s="12">
        <v>48</v>
      </c>
      <c r="EV18" s="12">
        <v>22</v>
      </c>
      <c r="EW18" s="12">
        <v>9</v>
      </c>
      <c r="EX18" s="12">
        <v>15</v>
      </c>
      <c r="EY18" s="12">
        <v>10</v>
      </c>
      <c r="EZ18" s="12">
        <v>29</v>
      </c>
      <c r="FA18" s="12">
        <v>33</v>
      </c>
      <c r="FB18" s="12">
        <v>15</v>
      </c>
      <c r="FC18" s="35">
        <v>15</v>
      </c>
      <c r="FD18" s="35">
        <v>15</v>
      </c>
      <c r="FE18" s="35">
        <v>30</v>
      </c>
      <c r="FF18" s="35">
        <v>34</v>
      </c>
      <c r="FG18" s="35">
        <v>28</v>
      </c>
      <c r="FH18" s="35">
        <v>35</v>
      </c>
      <c r="FI18" s="35">
        <v>55</v>
      </c>
      <c r="FJ18" s="35">
        <v>9</v>
      </c>
      <c r="FK18" s="35" t="e">
        <f>VLOOKUP(H18,#REF!,2,)</f>
        <v>#REF!</v>
      </c>
      <c r="FL18" s="35">
        <v>4</v>
      </c>
      <c r="FM18" s="16" t="e">
        <f t="shared" si="3"/>
        <v>#REF!</v>
      </c>
      <c r="FN18" s="16" t="e">
        <f t="shared" si="6"/>
        <v>#REF!</v>
      </c>
      <c r="FO18" s="44" t="e">
        <f t="shared" si="4"/>
        <v>#REF!</v>
      </c>
      <c r="FP18" s="10" t="s">
        <v>91</v>
      </c>
      <c r="FR18" s="74">
        <f t="shared" si="1"/>
        <v>972</v>
      </c>
      <c r="FT18" s="10">
        <f>27*3</f>
        <v>81</v>
      </c>
    </row>
    <row r="19" spans="1:18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1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17">
        <f t="shared" si="2"/>
        <v>0</v>
      </c>
      <c r="EE19" s="17">
        <f t="shared" si="0"/>
        <v>1</v>
      </c>
      <c r="EF19" s="16">
        <f t="shared" si="5"/>
        <v>-1</v>
      </c>
      <c r="EG19" s="18"/>
      <c r="EH19" s="12">
        <v>0</v>
      </c>
      <c r="EI19" s="80"/>
      <c r="EJ19" s="10" t="s">
        <v>96</v>
      </c>
      <c r="EK19" s="12">
        <v>146</v>
      </c>
      <c r="EL19" s="12">
        <v>120</v>
      </c>
      <c r="EM19" s="12">
        <v>120</v>
      </c>
      <c r="EN19" s="12">
        <v>204</v>
      </c>
      <c r="EO19" s="12">
        <v>198</v>
      </c>
      <c r="EP19" s="12">
        <v>957</v>
      </c>
      <c r="EQ19" s="12">
        <v>606</v>
      </c>
      <c r="ER19" s="12">
        <v>72</v>
      </c>
      <c r="ES19" s="12">
        <v>711</v>
      </c>
      <c r="ET19" s="12">
        <v>254</v>
      </c>
      <c r="EU19" s="12">
        <v>128</v>
      </c>
      <c r="EV19" s="12">
        <v>96</v>
      </c>
      <c r="EW19" s="12">
        <v>206</v>
      </c>
      <c r="EX19" s="12">
        <v>273</v>
      </c>
      <c r="EY19" s="12">
        <v>110</v>
      </c>
      <c r="EZ19" s="12">
        <v>477</v>
      </c>
      <c r="FA19" s="12">
        <v>244</v>
      </c>
      <c r="FB19" s="12">
        <v>240</v>
      </c>
      <c r="FC19" s="35">
        <v>254</v>
      </c>
      <c r="FD19" s="35">
        <v>34</v>
      </c>
      <c r="FE19" s="35">
        <v>287</v>
      </c>
      <c r="FF19" s="35">
        <v>506</v>
      </c>
      <c r="FG19" s="35">
        <v>154</v>
      </c>
      <c r="FH19" s="35">
        <v>315</v>
      </c>
      <c r="FI19" s="35">
        <v>125</v>
      </c>
      <c r="FJ19" s="35">
        <v>251</v>
      </c>
      <c r="FK19" s="35" t="e">
        <f>VLOOKUP(H19,#REF!,2,)</f>
        <v>#REF!</v>
      </c>
      <c r="FL19" s="35">
        <v>29</v>
      </c>
      <c r="FM19" s="16" t="e">
        <f t="shared" si="3"/>
        <v>#REF!</v>
      </c>
      <c r="FN19" s="16" t="e">
        <f t="shared" si="6"/>
        <v>#REF!</v>
      </c>
      <c r="FO19" s="44" t="e">
        <f t="shared" si="4"/>
        <v>#REF!</v>
      </c>
      <c r="FR19" s="74">
        <f t="shared" si="1"/>
        <v>0</v>
      </c>
    </row>
    <row r="20" spans="1:18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17">
        <f t="shared" si="2"/>
        <v>0</v>
      </c>
      <c r="EE20" s="17">
        <f t="shared" si="0"/>
        <v>0</v>
      </c>
      <c r="EF20" s="16">
        <f>(ED20*4)-EE20</f>
        <v>0</v>
      </c>
      <c r="EG20" s="18"/>
      <c r="EH20" s="12">
        <v>0</v>
      </c>
      <c r="EI20" s="80">
        <f>EH20*4</f>
        <v>0</v>
      </c>
      <c r="EJ20" s="10" t="s">
        <v>407</v>
      </c>
      <c r="EK20" s="12">
        <v>584</v>
      </c>
      <c r="EL20" s="12">
        <v>369</v>
      </c>
      <c r="EM20" s="12">
        <v>570</v>
      </c>
      <c r="EN20" s="12">
        <v>643</v>
      </c>
      <c r="EO20" s="12">
        <v>844</v>
      </c>
      <c r="EP20" s="12">
        <v>461</v>
      </c>
      <c r="EQ20" s="12">
        <v>440</v>
      </c>
      <c r="ER20" s="12">
        <v>562</v>
      </c>
      <c r="ES20" s="12">
        <v>453</v>
      </c>
      <c r="ET20" s="12">
        <v>403</v>
      </c>
      <c r="EU20" s="12">
        <v>544</v>
      </c>
      <c r="EV20" s="12">
        <v>521</v>
      </c>
      <c r="EW20" s="12">
        <v>456</v>
      </c>
      <c r="EX20" s="12">
        <v>696</v>
      </c>
      <c r="EY20" s="12">
        <v>398</v>
      </c>
      <c r="EZ20" s="12">
        <v>637</v>
      </c>
      <c r="FA20" s="12">
        <v>1069</v>
      </c>
      <c r="FB20" s="12">
        <v>632</v>
      </c>
      <c r="FC20" s="35">
        <v>827</v>
      </c>
      <c r="FD20" s="35">
        <v>407</v>
      </c>
      <c r="FE20" s="35">
        <v>654</v>
      </c>
      <c r="FF20" s="35">
        <v>819</v>
      </c>
      <c r="FG20" s="35">
        <v>836</v>
      </c>
      <c r="FH20" s="35">
        <v>874</v>
      </c>
      <c r="FI20" s="35">
        <v>1148</v>
      </c>
      <c r="FJ20" s="35">
        <v>942</v>
      </c>
      <c r="FK20" s="35" t="e">
        <f>VLOOKUP(H20,#REF!,2,)</f>
        <v>#REF!</v>
      </c>
      <c r="FL20" s="35">
        <v>996</v>
      </c>
      <c r="FM20" s="16" t="e">
        <f t="shared" si="3"/>
        <v>#REF!</v>
      </c>
      <c r="FN20" s="16" t="e">
        <f t="shared" si="6"/>
        <v>#REF!</v>
      </c>
      <c r="FO20" s="44" t="e">
        <f>(FM20*3)-FN20</f>
        <v>#REF!</v>
      </c>
      <c r="FR20" s="74">
        <f t="shared" si="1"/>
        <v>0</v>
      </c>
    </row>
    <row r="21" spans="1:18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22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17">
        <f t="shared" si="2"/>
        <v>0</v>
      </c>
      <c r="EE21" s="17">
        <f t="shared" si="0"/>
        <v>22</v>
      </c>
      <c r="EF21" s="16">
        <f>(ED21*4)-EE21</f>
        <v>-22</v>
      </c>
      <c r="EG21" s="18"/>
      <c r="EH21" s="12">
        <v>0</v>
      </c>
      <c r="EI21" s="80"/>
      <c r="EJ21" s="10" t="s">
        <v>419</v>
      </c>
      <c r="EK21" s="12">
        <v>242</v>
      </c>
      <c r="EL21" s="12">
        <v>180</v>
      </c>
      <c r="EM21" s="12">
        <v>210</v>
      </c>
      <c r="EN21" s="12">
        <v>369</v>
      </c>
      <c r="EO21" s="12">
        <v>211</v>
      </c>
      <c r="EP21" s="12">
        <v>210</v>
      </c>
      <c r="EQ21" s="12">
        <v>174</v>
      </c>
      <c r="ER21" s="12">
        <v>167</v>
      </c>
      <c r="ES21" s="12">
        <v>332</v>
      </c>
      <c r="ET21" s="12">
        <v>204</v>
      </c>
      <c r="EU21" s="12">
        <v>142</v>
      </c>
      <c r="EV21" s="12">
        <v>246</v>
      </c>
      <c r="EW21" s="12">
        <v>198</v>
      </c>
      <c r="EX21" s="12">
        <v>182</v>
      </c>
      <c r="EY21" s="12">
        <v>90</v>
      </c>
      <c r="EZ21" s="12">
        <v>361</v>
      </c>
      <c r="FA21" s="12">
        <v>383</v>
      </c>
      <c r="FB21" s="12">
        <v>270</v>
      </c>
      <c r="FC21" s="35">
        <v>300</v>
      </c>
      <c r="FD21" s="35">
        <v>124</v>
      </c>
      <c r="FE21" s="35">
        <v>82</v>
      </c>
      <c r="FF21" s="35">
        <v>405</v>
      </c>
      <c r="FG21" s="35">
        <v>407</v>
      </c>
      <c r="FH21" s="35">
        <v>484</v>
      </c>
      <c r="FI21" s="35">
        <v>352</v>
      </c>
      <c r="FJ21" s="35">
        <v>491</v>
      </c>
      <c r="FK21" s="35" t="e">
        <f>VLOOKUP(H21,#REF!,2,)</f>
        <v>#REF!</v>
      </c>
      <c r="FL21" s="35">
        <v>321</v>
      </c>
      <c r="FM21" s="16" t="e">
        <f t="shared" si="3"/>
        <v>#REF!</v>
      </c>
      <c r="FN21" s="16" t="e">
        <f t="shared" si="6"/>
        <v>#REF!</v>
      </c>
      <c r="FO21" s="44" t="e">
        <f>(FM21*3)-FN21</f>
        <v>#REF!</v>
      </c>
      <c r="FR21" s="74">
        <f t="shared" si="1"/>
        <v>0</v>
      </c>
    </row>
    <row r="22" spans="1:18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32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17">
        <f t="shared" si="2"/>
        <v>7.75</v>
      </c>
      <c r="EE22" s="17">
        <f t="shared" si="0"/>
        <v>24.25</v>
      </c>
      <c r="EF22" s="16">
        <f>(ED22*6)-EE22</f>
        <v>22.25</v>
      </c>
      <c r="EG22" s="18"/>
      <c r="EH22" s="12">
        <v>0</v>
      </c>
      <c r="EI22" s="80">
        <f>EH22*18</f>
        <v>0</v>
      </c>
      <c r="EJ22" s="10" t="s">
        <v>503</v>
      </c>
      <c r="EK22" s="12">
        <v>19</v>
      </c>
      <c r="EL22" s="12">
        <v>20</v>
      </c>
      <c r="EM22" s="12">
        <v>1</v>
      </c>
      <c r="EN22" s="12">
        <v>75</v>
      </c>
      <c r="EO22" s="12">
        <v>15</v>
      </c>
      <c r="EP22" s="12">
        <v>5</v>
      </c>
      <c r="EQ22" s="12">
        <v>73</v>
      </c>
      <c r="ER22" s="12">
        <v>35</v>
      </c>
      <c r="ES22" s="12">
        <v>25</v>
      </c>
      <c r="ET22" s="12">
        <v>32</v>
      </c>
      <c r="EU22" s="12">
        <v>2</v>
      </c>
      <c r="EV22" s="12">
        <v>22</v>
      </c>
      <c r="EW22" s="12">
        <v>35</v>
      </c>
      <c r="EX22" s="12">
        <v>40</v>
      </c>
      <c r="EY22" s="12">
        <v>3</v>
      </c>
      <c r="EZ22" s="12">
        <v>23</v>
      </c>
      <c r="FA22" s="12">
        <v>0</v>
      </c>
      <c r="FB22" s="12">
        <v>5</v>
      </c>
      <c r="FC22" s="35">
        <v>8</v>
      </c>
      <c r="FD22" s="35">
        <v>15</v>
      </c>
      <c r="FE22" s="35">
        <v>0</v>
      </c>
      <c r="FF22" s="35">
        <v>23</v>
      </c>
      <c r="FG22" s="35">
        <v>7</v>
      </c>
      <c r="FH22" s="35">
        <v>11</v>
      </c>
      <c r="FI22" s="35">
        <v>14</v>
      </c>
      <c r="FJ22" s="35">
        <v>9</v>
      </c>
      <c r="FK22" s="35" t="e">
        <f>VLOOKUP(H22,#REF!,2,)</f>
        <v>#REF!</v>
      </c>
      <c r="FL22" s="35">
        <v>0</v>
      </c>
      <c r="FM22" s="16" t="e">
        <f t="shared" si="3"/>
        <v>#REF!</v>
      </c>
      <c r="FN22" s="16" t="e">
        <f t="shared" si="6"/>
        <v>#REF!</v>
      </c>
      <c r="FO22" s="44" t="e">
        <f t="shared" si="4"/>
        <v>#REF!</v>
      </c>
      <c r="FR22" s="74">
        <f t="shared" si="1"/>
        <v>0</v>
      </c>
      <c r="FX22" s="10">
        <f>48*3</f>
        <v>144</v>
      </c>
    </row>
    <row r="23" spans="1:18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17">
        <f t="shared" si="2"/>
        <v>0</v>
      </c>
      <c r="EE23" s="17">
        <f t="shared" si="0"/>
        <v>17</v>
      </c>
      <c r="EF23" s="16">
        <f t="shared" si="5"/>
        <v>-17</v>
      </c>
      <c r="EG23" s="18"/>
      <c r="EH23" s="12">
        <v>0</v>
      </c>
      <c r="EI23" s="80"/>
      <c r="EK23" s="12">
        <v>332</v>
      </c>
      <c r="EL23" s="12">
        <v>360</v>
      </c>
      <c r="EM23" s="12">
        <v>637</v>
      </c>
      <c r="EN23" s="12">
        <v>1133</v>
      </c>
      <c r="EO23" s="12">
        <v>2101</v>
      </c>
      <c r="EP23" s="12">
        <v>360</v>
      </c>
      <c r="EQ23" s="12">
        <v>2340</v>
      </c>
      <c r="ER23" s="12">
        <v>327</v>
      </c>
      <c r="ES23" s="12">
        <v>420</v>
      </c>
      <c r="ET23" s="12">
        <v>540</v>
      </c>
      <c r="EU23" s="12">
        <v>732</v>
      </c>
      <c r="EV23" s="12">
        <v>7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35">
        <v>539</v>
      </c>
      <c r="FD23" s="35">
        <v>0</v>
      </c>
      <c r="FE23" s="35">
        <v>0</v>
      </c>
      <c r="FF23" s="35">
        <v>0</v>
      </c>
      <c r="FG23" s="35">
        <v>0</v>
      </c>
      <c r="FH23" s="35">
        <v>0</v>
      </c>
      <c r="FI23" s="35">
        <v>0</v>
      </c>
      <c r="FJ23" s="35">
        <v>10</v>
      </c>
      <c r="FK23" s="35" t="e">
        <f>VLOOKUP(H23,#REF!,2,)</f>
        <v>#REF!</v>
      </c>
      <c r="FL23" s="35">
        <v>0</v>
      </c>
      <c r="FM23" s="16" t="e">
        <f t="shared" si="3"/>
        <v>#REF!</v>
      </c>
      <c r="FN23" s="16" t="e">
        <f t="shared" si="6"/>
        <v>#REF!</v>
      </c>
      <c r="FO23" s="44" t="e">
        <f t="shared" si="4"/>
        <v>#REF!</v>
      </c>
      <c r="FR23" s="74">
        <f t="shared" si="1"/>
        <v>0</v>
      </c>
    </row>
    <row r="24" spans="1:182" s="10" customFormat="1" hidden="1">
      <c r="A24" s="12">
        <v>21</v>
      </c>
      <c r="B24" s="13" t="s">
        <v>22</v>
      </c>
      <c r="C24" s="13" t="s">
        <v>42</v>
      </c>
      <c r="D24" s="14">
        <v>4</v>
      </c>
      <c r="E24" s="14" t="s">
        <v>24</v>
      </c>
      <c r="F24" s="14">
        <v>4</v>
      </c>
      <c r="G24" s="14" t="s">
        <v>25</v>
      </c>
      <c r="H24" s="15">
        <v>691849</v>
      </c>
      <c r="I24" s="15" t="s">
        <v>26</v>
      </c>
      <c r="J24" s="16">
        <v>1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>
        <v>231</v>
      </c>
      <c r="V24" s="12">
        <v>19</v>
      </c>
      <c r="W24" s="12">
        <v>232</v>
      </c>
      <c r="X24" s="12">
        <v>269</v>
      </c>
      <c r="Y24" s="12">
        <v>264</v>
      </c>
      <c r="Z24" s="12">
        <v>128</v>
      </c>
      <c r="AA24" s="12">
        <v>278</v>
      </c>
      <c r="AB24" s="12">
        <v>355</v>
      </c>
      <c r="AC24" s="16">
        <v>468</v>
      </c>
      <c r="AD24" s="16">
        <v>609</v>
      </c>
      <c r="AE24" s="16">
        <v>639</v>
      </c>
      <c r="AF24" s="16">
        <v>411</v>
      </c>
      <c r="AG24" s="16">
        <v>443</v>
      </c>
      <c r="AH24" s="16">
        <v>610</v>
      </c>
      <c r="AI24" s="16">
        <v>535</v>
      </c>
      <c r="AJ24" s="16">
        <v>761</v>
      </c>
      <c r="AK24" s="16">
        <v>621</v>
      </c>
      <c r="AL24" s="16">
        <v>744</v>
      </c>
      <c r="AM24" s="34">
        <v>785</v>
      </c>
      <c r="AN24" s="34">
        <v>800</v>
      </c>
      <c r="AO24" s="34">
        <v>1045</v>
      </c>
      <c r="AP24" s="34">
        <v>772</v>
      </c>
      <c r="AQ24" s="34">
        <v>646</v>
      </c>
      <c r="AR24" s="34">
        <v>778</v>
      </c>
      <c r="AS24" s="34">
        <v>806</v>
      </c>
      <c r="AT24" s="34">
        <v>914</v>
      </c>
      <c r="AU24" s="34">
        <v>833</v>
      </c>
      <c r="AV24" s="34">
        <v>678</v>
      </c>
      <c r="AW24" s="34">
        <v>928</v>
      </c>
      <c r="AX24" s="34">
        <v>580</v>
      </c>
      <c r="AY24" s="34">
        <v>761</v>
      </c>
      <c r="AZ24" s="34">
        <v>765</v>
      </c>
      <c r="BA24" s="34">
        <v>737</v>
      </c>
      <c r="BB24" s="34">
        <v>892</v>
      </c>
      <c r="BC24" s="34">
        <v>912</v>
      </c>
      <c r="BD24" s="34">
        <v>1078</v>
      </c>
      <c r="BE24" s="34">
        <v>1124</v>
      </c>
      <c r="BF24" s="34">
        <v>915</v>
      </c>
      <c r="BG24" s="34">
        <v>1075</v>
      </c>
      <c r="BH24" s="34">
        <v>1029</v>
      </c>
      <c r="BI24" s="34">
        <v>1004</v>
      </c>
      <c r="BJ24" s="34">
        <v>942</v>
      </c>
      <c r="BK24" s="34">
        <v>1049</v>
      </c>
      <c r="BL24" s="34">
        <v>531</v>
      </c>
      <c r="BM24" s="34">
        <v>749</v>
      </c>
      <c r="BN24" s="34">
        <v>621</v>
      </c>
      <c r="BO24" s="34">
        <v>813</v>
      </c>
      <c r="BP24" s="34">
        <v>911</v>
      </c>
      <c r="BQ24" s="34">
        <v>506</v>
      </c>
      <c r="BR24" s="34">
        <v>557</v>
      </c>
      <c r="BS24" s="34">
        <v>747</v>
      </c>
      <c r="BT24" s="34">
        <v>818</v>
      </c>
      <c r="BU24" s="34">
        <v>490</v>
      </c>
      <c r="BV24" s="34">
        <v>622</v>
      </c>
      <c r="BW24" s="34">
        <v>396</v>
      </c>
      <c r="BX24" s="34">
        <v>335</v>
      </c>
      <c r="BY24" s="34">
        <v>66</v>
      </c>
      <c r="BZ24" s="34">
        <v>79</v>
      </c>
      <c r="CA24" s="34">
        <v>24</v>
      </c>
      <c r="CB24" s="34">
        <v>21</v>
      </c>
      <c r="CC24" s="34">
        <v>19</v>
      </c>
      <c r="CD24" s="34">
        <v>49</v>
      </c>
      <c r="CE24" s="34">
        <v>20</v>
      </c>
      <c r="CF24" s="34">
        <v>0</v>
      </c>
      <c r="CG24" s="34">
        <v>2</v>
      </c>
      <c r="CH24" s="34">
        <v>2</v>
      </c>
      <c r="CI24" s="34">
        <v>6</v>
      </c>
      <c r="CJ24" s="34">
        <v>0</v>
      </c>
      <c r="CK24" s="34">
        <v>0</v>
      </c>
      <c r="CL24" s="34">
        <v>1</v>
      </c>
      <c r="CM24" s="34">
        <v>2</v>
      </c>
      <c r="CN24" s="34">
        <v>3</v>
      </c>
      <c r="CO24" s="34">
        <v>0</v>
      </c>
      <c r="CP24" s="34">
        <v>1</v>
      </c>
      <c r="CQ24" s="34">
        <v>1</v>
      </c>
      <c r="CR24" s="34">
        <v>0</v>
      </c>
      <c r="CS24" s="34">
        <v>0</v>
      </c>
      <c r="CT24" s="34">
        <v>0</v>
      </c>
      <c r="CU24" s="34">
        <v>0</v>
      </c>
      <c r="CV24" s="34">
        <v>4</v>
      </c>
      <c r="CW24" s="34">
        <v>0</v>
      </c>
      <c r="CX24" s="34">
        <v>0</v>
      </c>
      <c r="CY24" s="34">
        <v>0</v>
      </c>
      <c r="CZ24" s="34">
        <v>0</v>
      </c>
      <c r="DA24" s="34">
        <v>0</v>
      </c>
      <c r="DB24" s="34">
        <v>0</v>
      </c>
      <c r="DC24" s="34">
        <v>0</v>
      </c>
      <c r="DD24" s="34">
        <v>0</v>
      </c>
      <c r="DE24" s="34">
        <v>0</v>
      </c>
      <c r="DF24" s="34">
        <v>0</v>
      </c>
      <c r="DG24" s="34">
        <v>0</v>
      </c>
      <c r="DH24" s="34">
        <v>0</v>
      </c>
      <c r="DI24" s="34">
        <v>0</v>
      </c>
      <c r="DJ24" s="34">
        <v>1</v>
      </c>
      <c r="DK24" s="34">
        <v>0</v>
      </c>
      <c r="DL24" s="34">
        <v>0</v>
      </c>
      <c r="DM24" s="34">
        <v>0</v>
      </c>
      <c r="DN24" s="34">
        <v>2</v>
      </c>
      <c r="DO24" s="34">
        <v>0</v>
      </c>
      <c r="DP24" s="34">
        <v>0</v>
      </c>
      <c r="DQ24" s="34">
        <v>0</v>
      </c>
      <c r="DR24" s="34">
        <v>0</v>
      </c>
      <c r="DS24" s="34">
        <v>0</v>
      </c>
      <c r="DT24" s="34">
        <v>0</v>
      </c>
      <c r="DU24" s="34">
        <v>0</v>
      </c>
      <c r="DV24" s="34">
        <v>0</v>
      </c>
      <c r="DW24" s="34">
        <v>0</v>
      </c>
      <c r="DX24" s="34">
        <v>0</v>
      </c>
      <c r="DY24" s="34">
        <v>0</v>
      </c>
      <c r="DZ24" s="34">
        <v>0</v>
      </c>
      <c r="EA24" s="34">
        <v>0</v>
      </c>
      <c r="EB24" s="34">
        <v>0</v>
      </c>
      <c r="EC24" s="34">
        <v>0</v>
      </c>
      <c r="ED24" s="17">
        <f t="shared" si="2"/>
        <v>0</v>
      </c>
      <c r="EE24" s="17">
        <f t="shared" si="0"/>
        <v>1</v>
      </c>
      <c r="EF24" s="16">
        <f>(ED24*4)-EE24</f>
        <v>-1</v>
      </c>
      <c r="EG24" s="18"/>
      <c r="EH24" s="12">
        <v>0</v>
      </c>
      <c r="EI24" s="80">
        <f>EH24*4</f>
        <v>0</v>
      </c>
      <c r="EJ24" s="10" t="s">
        <v>407</v>
      </c>
      <c r="EK24" s="12">
        <v>228</v>
      </c>
      <c r="EL24" s="12">
        <v>188</v>
      </c>
      <c r="EM24" s="12">
        <v>321</v>
      </c>
      <c r="EN24" s="12">
        <v>576</v>
      </c>
      <c r="EO24" s="12">
        <v>270</v>
      </c>
      <c r="EP24" s="12">
        <v>604</v>
      </c>
      <c r="EQ24" s="12">
        <v>706</v>
      </c>
      <c r="ER24" s="12">
        <v>499</v>
      </c>
      <c r="ES24" s="12">
        <v>609</v>
      </c>
      <c r="ET24" s="12">
        <v>331</v>
      </c>
      <c r="EU24" s="12">
        <v>758</v>
      </c>
      <c r="EV24" s="12">
        <v>493</v>
      </c>
      <c r="EW24" s="12">
        <v>364</v>
      </c>
      <c r="EX24" s="12">
        <v>631</v>
      </c>
      <c r="EY24" s="12">
        <v>227</v>
      </c>
      <c r="EZ24" s="12">
        <v>766</v>
      </c>
      <c r="FA24" s="12">
        <v>1100</v>
      </c>
      <c r="FB24" s="12">
        <v>848</v>
      </c>
      <c r="FC24" s="35">
        <v>402</v>
      </c>
      <c r="FD24" s="35">
        <v>739</v>
      </c>
      <c r="FE24" s="35">
        <v>471</v>
      </c>
      <c r="FF24" s="35">
        <v>1034</v>
      </c>
      <c r="FG24" s="35">
        <v>644</v>
      </c>
      <c r="FH24" s="35">
        <v>891</v>
      </c>
      <c r="FI24" s="35">
        <v>904</v>
      </c>
      <c r="FJ24" s="35">
        <v>1060</v>
      </c>
      <c r="FK24" s="35" t="e">
        <f>VLOOKUP(H24,#REF!,2,)</f>
        <v>#REF!</v>
      </c>
      <c r="FL24" s="35">
        <v>1182</v>
      </c>
      <c r="FM24" s="16" t="e">
        <f t="shared" si="3"/>
        <v>#REF!</v>
      </c>
      <c r="FN24" s="16" t="e">
        <f t="shared" si="6"/>
        <v>#REF!</v>
      </c>
      <c r="FO24" s="44" t="e">
        <f>(FM24*3)-FN24</f>
        <v>#REF!</v>
      </c>
      <c r="FR24" s="74">
        <f t="shared" si="1"/>
        <v>0</v>
      </c>
    </row>
    <row r="25" spans="1:182" s="10" customFormat="1" hidden="1">
      <c r="A25" s="12">
        <v>22</v>
      </c>
      <c r="B25" s="13" t="s">
        <v>22</v>
      </c>
      <c r="C25" s="13" t="s">
        <v>42</v>
      </c>
      <c r="D25" s="14">
        <v>24</v>
      </c>
      <c r="E25" s="14" t="s">
        <v>24</v>
      </c>
      <c r="F25" s="14">
        <v>1</v>
      </c>
      <c r="G25" s="14" t="s">
        <v>25</v>
      </c>
      <c r="H25" s="15">
        <v>691918</v>
      </c>
      <c r="I25" s="15" t="s">
        <v>26</v>
      </c>
      <c r="J25" s="16">
        <v>23</v>
      </c>
      <c r="K25" s="12"/>
      <c r="L25" s="12"/>
      <c r="M25" s="12"/>
      <c r="N25" s="12"/>
      <c r="O25" s="12"/>
      <c r="P25" s="12"/>
      <c r="Q25" s="12"/>
      <c r="R25" s="12"/>
      <c r="S25" s="12"/>
      <c r="T25" s="20"/>
      <c r="U25" s="12">
        <v>67</v>
      </c>
      <c r="V25" s="12">
        <v>204</v>
      </c>
      <c r="W25" s="12">
        <v>122</v>
      </c>
      <c r="X25" s="12">
        <v>173</v>
      </c>
      <c r="Y25" s="12">
        <v>114</v>
      </c>
      <c r="Z25" s="12">
        <v>143</v>
      </c>
      <c r="AA25" s="12">
        <v>70</v>
      </c>
      <c r="AB25" s="12">
        <v>84</v>
      </c>
      <c r="AC25" s="16">
        <v>24</v>
      </c>
      <c r="AD25" s="16">
        <v>218</v>
      </c>
      <c r="AE25" s="16">
        <v>182</v>
      </c>
      <c r="AF25" s="16">
        <v>228</v>
      </c>
      <c r="AG25" s="16">
        <v>128</v>
      </c>
      <c r="AH25" s="16">
        <v>315</v>
      </c>
      <c r="AI25" s="16">
        <v>187</v>
      </c>
      <c r="AJ25" s="16">
        <v>255</v>
      </c>
      <c r="AK25" s="16">
        <v>178</v>
      </c>
      <c r="AL25" s="16">
        <v>94</v>
      </c>
      <c r="AM25" s="34">
        <v>382</v>
      </c>
      <c r="AN25" s="34">
        <v>321</v>
      </c>
      <c r="AO25" s="34">
        <v>484</v>
      </c>
      <c r="AP25" s="34">
        <v>378</v>
      </c>
      <c r="AQ25" s="34">
        <v>301</v>
      </c>
      <c r="AR25" s="34">
        <v>253</v>
      </c>
      <c r="AS25" s="34">
        <v>181</v>
      </c>
      <c r="AT25" s="34">
        <v>309</v>
      </c>
      <c r="AU25" s="34">
        <v>146</v>
      </c>
      <c r="AV25" s="34">
        <v>138</v>
      </c>
      <c r="AW25" s="34">
        <v>166</v>
      </c>
      <c r="AX25" s="34">
        <v>139</v>
      </c>
      <c r="AY25" s="34">
        <v>163</v>
      </c>
      <c r="AZ25" s="34">
        <v>189</v>
      </c>
      <c r="BA25" s="34">
        <v>376</v>
      </c>
      <c r="BB25" s="34">
        <v>234</v>
      </c>
      <c r="BC25" s="34">
        <v>92</v>
      </c>
      <c r="BD25" s="34">
        <v>146</v>
      </c>
      <c r="BE25" s="34">
        <v>346</v>
      </c>
      <c r="BF25" s="34">
        <v>267</v>
      </c>
      <c r="BG25" s="34">
        <v>120</v>
      </c>
      <c r="BH25" s="34">
        <v>169</v>
      </c>
      <c r="BI25" s="34">
        <v>203</v>
      </c>
      <c r="BJ25" s="34">
        <v>33</v>
      </c>
      <c r="BK25" s="34">
        <v>156</v>
      </c>
      <c r="BL25" s="34">
        <v>139</v>
      </c>
      <c r="BM25" s="34">
        <v>105</v>
      </c>
      <c r="BN25" s="34">
        <v>223</v>
      </c>
      <c r="BO25" s="34">
        <v>265</v>
      </c>
      <c r="BP25" s="34">
        <v>151</v>
      </c>
      <c r="BQ25" s="34">
        <v>92</v>
      </c>
      <c r="BR25" s="34">
        <v>261</v>
      </c>
      <c r="BS25" s="34">
        <v>64</v>
      </c>
      <c r="BT25" s="34">
        <v>206</v>
      </c>
      <c r="BU25" s="34">
        <v>144</v>
      </c>
      <c r="BV25" s="34">
        <v>114</v>
      </c>
      <c r="BW25" s="34">
        <v>54</v>
      </c>
      <c r="BX25" s="34">
        <v>87</v>
      </c>
      <c r="BY25" s="34">
        <v>78</v>
      </c>
      <c r="BZ25" s="34">
        <v>67</v>
      </c>
      <c r="CA25" s="34">
        <v>69</v>
      </c>
      <c r="CB25" s="34">
        <v>86</v>
      </c>
      <c r="CC25" s="34">
        <v>143</v>
      </c>
      <c r="CD25" s="34">
        <v>83</v>
      </c>
      <c r="CE25" s="34">
        <v>35</v>
      </c>
      <c r="CF25" s="34">
        <v>109</v>
      </c>
      <c r="CG25" s="34">
        <v>44</v>
      </c>
      <c r="CH25" s="34">
        <v>57</v>
      </c>
      <c r="CI25" s="34">
        <v>113</v>
      </c>
      <c r="CJ25" s="34">
        <v>53</v>
      </c>
      <c r="CK25" s="34">
        <v>29</v>
      </c>
      <c r="CL25" s="34">
        <v>12</v>
      </c>
      <c r="CM25" s="34">
        <v>4</v>
      </c>
      <c r="CN25" s="34">
        <v>72</v>
      </c>
      <c r="CO25" s="34">
        <v>37</v>
      </c>
      <c r="CP25" s="34">
        <v>15</v>
      </c>
      <c r="CQ25" s="34">
        <v>98</v>
      </c>
      <c r="CR25" s="34">
        <v>8</v>
      </c>
      <c r="CS25" s="34">
        <v>14</v>
      </c>
      <c r="CT25" s="34">
        <v>12</v>
      </c>
      <c r="CU25" s="34">
        <v>38</v>
      </c>
      <c r="CV25" s="34">
        <v>41</v>
      </c>
      <c r="CW25" s="34">
        <v>31</v>
      </c>
      <c r="CX25" s="34">
        <v>3</v>
      </c>
      <c r="CY25" s="34">
        <v>9</v>
      </c>
      <c r="CZ25" s="34">
        <v>8</v>
      </c>
      <c r="DA25" s="34">
        <v>4</v>
      </c>
      <c r="DB25" s="34">
        <v>1</v>
      </c>
      <c r="DC25" s="34">
        <v>1</v>
      </c>
      <c r="DD25" s="34">
        <v>1</v>
      </c>
      <c r="DE25" s="34">
        <v>1</v>
      </c>
      <c r="DF25" s="34">
        <v>2</v>
      </c>
      <c r="DG25" s="34">
        <v>0</v>
      </c>
      <c r="DH25" s="34">
        <v>0</v>
      </c>
      <c r="DI25" s="34">
        <v>168</v>
      </c>
      <c r="DJ25" s="34">
        <v>0</v>
      </c>
      <c r="DK25" s="34">
        <v>1</v>
      </c>
      <c r="DL25" s="34">
        <v>1</v>
      </c>
      <c r="DM25" s="34">
        <v>5</v>
      </c>
      <c r="DN25" s="34">
        <v>5</v>
      </c>
      <c r="DO25" s="34">
        <v>0</v>
      </c>
      <c r="DP25" s="34">
        <v>0</v>
      </c>
      <c r="DQ25" s="34">
        <v>2</v>
      </c>
      <c r="DR25" s="34">
        <v>4</v>
      </c>
      <c r="DS25" s="34">
        <v>0</v>
      </c>
      <c r="DT25" s="34">
        <v>0</v>
      </c>
      <c r="DU25" s="34">
        <v>12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17">
        <f t="shared" si="2"/>
        <v>0</v>
      </c>
      <c r="EE25" s="17">
        <f t="shared" si="0"/>
        <v>23</v>
      </c>
      <c r="EF25" s="16">
        <f>(ED25*4)-EE25</f>
        <v>-23</v>
      </c>
      <c r="EG25" s="18"/>
      <c r="EH25" s="12">
        <v>0</v>
      </c>
      <c r="EI25" s="80"/>
      <c r="EJ25" s="10" t="s">
        <v>96</v>
      </c>
      <c r="EK25" s="12">
        <v>166</v>
      </c>
      <c r="EL25" s="12">
        <v>484</v>
      </c>
      <c r="EM25" s="12">
        <v>210</v>
      </c>
      <c r="EN25" s="12">
        <v>519</v>
      </c>
      <c r="EO25" s="12">
        <v>276</v>
      </c>
      <c r="EP25" s="12">
        <v>168</v>
      </c>
      <c r="EQ25" s="12">
        <v>105</v>
      </c>
      <c r="ER25" s="12">
        <v>8</v>
      </c>
      <c r="ES25" s="12">
        <v>446</v>
      </c>
      <c r="ET25" s="12">
        <v>72</v>
      </c>
      <c r="EU25" s="12">
        <v>490</v>
      </c>
      <c r="EV25" s="12">
        <v>246</v>
      </c>
      <c r="EW25" s="12">
        <v>36</v>
      </c>
      <c r="EX25" s="12">
        <v>240</v>
      </c>
      <c r="EY25" s="12">
        <v>60</v>
      </c>
      <c r="EZ25" s="12">
        <v>328</v>
      </c>
      <c r="FA25" s="12">
        <v>576</v>
      </c>
      <c r="FB25" s="12">
        <v>118</v>
      </c>
      <c r="FC25" s="35">
        <v>418</v>
      </c>
      <c r="FD25" s="35">
        <v>72</v>
      </c>
      <c r="FE25" s="35">
        <v>100</v>
      </c>
      <c r="FF25" s="35">
        <v>612</v>
      </c>
      <c r="FG25" s="35">
        <v>390</v>
      </c>
      <c r="FH25" s="35">
        <v>407</v>
      </c>
      <c r="FI25" s="35">
        <v>106</v>
      </c>
      <c r="FJ25" s="35">
        <v>232</v>
      </c>
      <c r="FK25" s="35" t="e">
        <f>VLOOKUP(H25,#REF!,2,)</f>
        <v>#REF!</v>
      </c>
      <c r="FL25" s="35">
        <v>544</v>
      </c>
      <c r="FM25" s="16" t="e">
        <f t="shared" si="3"/>
        <v>#REF!</v>
      </c>
      <c r="FN25" s="16" t="e">
        <f t="shared" si="6"/>
        <v>#REF!</v>
      </c>
      <c r="FO25" s="44" t="e">
        <f t="shared" si="4"/>
        <v>#REF!</v>
      </c>
      <c r="FR25" s="74">
        <f t="shared" si="1"/>
        <v>0</v>
      </c>
      <c r="FZ25" s="10">
        <v>40</v>
      </c>
    </row>
    <row r="26" spans="1:182" s="10" customFormat="1" hidden="1">
      <c r="A26" s="12">
        <v>23</v>
      </c>
      <c r="B26" s="13" t="s">
        <v>22</v>
      </c>
      <c r="C26" s="13" t="s">
        <v>43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691781</v>
      </c>
      <c r="I26" s="15" t="s">
        <v>26</v>
      </c>
      <c r="J26" s="16">
        <v>0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>
        <v>146</v>
      </c>
      <c r="V26" s="12">
        <v>161</v>
      </c>
      <c r="W26" s="12">
        <v>141</v>
      </c>
      <c r="X26" s="12">
        <v>112</v>
      </c>
      <c r="Y26" s="12">
        <v>200</v>
      </c>
      <c r="Z26" s="12">
        <v>266</v>
      </c>
      <c r="AA26" s="12">
        <v>86</v>
      </c>
      <c r="AB26" s="12">
        <v>238</v>
      </c>
      <c r="AC26" s="16">
        <v>129</v>
      </c>
      <c r="AD26" s="16">
        <v>65</v>
      </c>
      <c r="AE26" s="16">
        <v>130</v>
      </c>
      <c r="AF26" s="16">
        <v>111</v>
      </c>
      <c r="AG26" s="16">
        <v>178</v>
      </c>
      <c r="AH26" s="16">
        <v>80</v>
      </c>
      <c r="AI26" s="16">
        <v>73</v>
      </c>
      <c r="AJ26" s="16">
        <v>146</v>
      </c>
      <c r="AK26" s="16">
        <v>329</v>
      </c>
      <c r="AL26" s="16">
        <v>72</v>
      </c>
      <c r="AM26" s="34">
        <v>103</v>
      </c>
      <c r="AN26" s="34">
        <v>107</v>
      </c>
      <c r="AO26" s="34">
        <v>182</v>
      </c>
      <c r="AP26" s="34">
        <v>60</v>
      </c>
      <c r="AQ26" s="34">
        <v>138</v>
      </c>
      <c r="AR26" s="34">
        <v>81</v>
      </c>
      <c r="AS26" s="34">
        <v>103</v>
      </c>
      <c r="AT26" s="34">
        <v>3</v>
      </c>
      <c r="AU26" s="34">
        <v>68</v>
      </c>
      <c r="AV26" s="34">
        <v>47</v>
      </c>
      <c r="AW26" s="34">
        <v>36</v>
      </c>
      <c r="AX26" s="34">
        <v>1</v>
      </c>
      <c r="AY26" s="34">
        <v>65</v>
      </c>
      <c r="AZ26" s="34">
        <v>75</v>
      </c>
      <c r="BA26" s="34">
        <v>19</v>
      </c>
      <c r="BB26" s="34">
        <v>14</v>
      </c>
      <c r="BC26" s="34">
        <v>222</v>
      </c>
      <c r="BD26" s="34">
        <v>290</v>
      </c>
      <c r="BE26" s="34">
        <v>0</v>
      </c>
      <c r="BF26" s="34">
        <v>26</v>
      </c>
      <c r="BG26" s="34">
        <v>14</v>
      </c>
      <c r="BH26" s="34">
        <v>51</v>
      </c>
      <c r="BI26" s="34">
        <v>31</v>
      </c>
      <c r="BJ26" s="34">
        <v>22</v>
      </c>
      <c r="BK26" s="34">
        <v>0</v>
      </c>
      <c r="BL26" s="34">
        <v>0</v>
      </c>
      <c r="BM26" s="34">
        <v>26</v>
      </c>
      <c r="BN26" s="34">
        <v>0</v>
      </c>
      <c r="BO26" s="34">
        <v>0</v>
      </c>
      <c r="BP26" s="34">
        <v>10</v>
      </c>
      <c r="BQ26" s="34">
        <v>0</v>
      </c>
      <c r="BR26" s="34">
        <v>1</v>
      </c>
      <c r="BS26" s="34">
        <v>0</v>
      </c>
      <c r="BT26" s="34">
        <v>0</v>
      </c>
      <c r="BU26" s="34">
        <v>0</v>
      </c>
      <c r="BV26" s="34">
        <v>1</v>
      </c>
      <c r="BW26" s="34">
        <v>0</v>
      </c>
      <c r="BX26" s="34">
        <v>107</v>
      </c>
      <c r="BY26" s="34">
        <v>1</v>
      </c>
      <c r="BZ26" s="34">
        <v>0</v>
      </c>
      <c r="CA26" s="34">
        <v>0</v>
      </c>
      <c r="CB26" s="34">
        <v>22</v>
      </c>
      <c r="CC26" s="34">
        <v>48</v>
      </c>
      <c r="CD26" s="34">
        <v>4</v>
      </c>
      <c r="CE26" s="34">
        <v>2</v>
      </c>
      <c r="CF26" s="34">
        <v>25</v>
      </c>
      <c r="CG26" s="34">
        <v>0</v>
      </c>
      <c r="CH26" s="34">
        <v>0</v>
      </c>
      <c r="CI26" s="34">
        <v>1</v>
      </c>
      <c r="CJ26" s="34">
        <v>0</v>
      </c>
      <c r="CK26" s="34">
        <v>24</v>
      </c>
      <c r="CL26" s="34">
        <v>2</v>
      </c>
      <c r="CM26" s="34">
        <v>0</v>
      </c>
      <c r="CN26" s="34">
        <v>0</v>
      </c>
      <c r="CO26" s="34">
        <v>218</v>
      </c>
      <c r="CP26" s="34">
        <v>13</v>
      </c>
      <c r="CQ26" s="34">
        <v>0</v>
      </c>
      <c r="CR26" s="34">
        <v>592</v>
      </c>
      <c r="CS26" s="34">
        <v>534</v>
      </c>
      <c r="CT26" s="34">
        <v>2</v>
      </c>
      <c r="CU26" s="34">
        <v>0</v>
      </c>
      <c r="CV26" s="34">
        <v>57</v>
      </c>
      <c r="CW26" s="34">
        <v>28</v>
      </c>
      <c r="CX26" s="34">
        <v>221</v>
      </c>
      <c r="CY26" s="34">
        <v>14</v>
      </c>
      <c r="CZ26" s="34">
        <v>0</v>
      </c>
      <c r="DA26" s="34">
        <v>0</v>
      </c>
      <c r="DB26" s="34">
        <v>0</v>
      </c>
      <c r="DC26" s="34">
        <v>0</v>
      </c>
      <c r="DD26" s="34">
        <v>0</v>
      </c>
      <c r="DE26" s="34">
        <v>0</v>
      </c>
      <c r="DF26" s="34">
        <v>0</v>
      </c>
      <c r="DG26" s="34">
        <v>0</v>
      </c>
      <c r="DH26" s="34">
        <v>162</v>
      </c>
      <c r="DI26" s="34">
        <v>0</v>
      </c>
      <c r="DJ26" s="34">
        <v>0</v>
      </c>
      <c r="DK26" s="34">
        <v>0</v>
      </c>
      <c r="DL26" s="34">
        <v>0</v>
      </c>
      <c r="DM26" s="34">
        <v>0</v>
      </c>
      <c r="DN26" s="34">
        <v>0</v>
      </c>
      <c r="DO26" s="34">
        <v>0</v>
      </c>
      <c r="DP26" s="34">
        <v>0</v>
      </c>
      <c r="DQ26" s="34">
        <v>0</v>
      </c>
      <c r="DR26" s="34">
        <v>0</v>
      </c>
      <c r="DS26" s="34">
        <v>0</v>
      </c>
      <c r="DT26" s="34">
        <v>20</v>
      </c>
      <c r="DU26" s="34">
        <v>0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17">
        <f t="shared" si="2"/>
        <v>0</v>
      </c>
      <c r="EE26" s="17">
        <f t="shared" si="0"/>
        <v>0</v>
      </c>
      <c r="EF26" s="16">
        <f t="shared" si="5"/>
        <v>0</v>
      </c>
      <c r="EG26" s="18"/>
      <c r="EH26" s="12">
        <v>0</v>
      </c>
      <c r="EI26" s="80"/>
      <c r="EJ26" s="10" t="s">
        <v>96</v>
      </c>
      <c r="EK26" s="12">
        <v>432</v>
      </c>
      <c r="EL26" s="12">
        <v>253</v>
      </c>
      <c r="EM26" s="12">
        <v>122</v>
      </c>
      <c r="EN26" s="12">
        <v>416</v>
      </c>
      <c r="EO26" s="12">
        <v>144</v>
      </c>
      <c r="EP26" s="12">
        <v>304</v>
      </c>
      <c r="EQ26" s="12">
        <v>108</v>
      </c>
      <c r="ER26" s="12">
        <v>472</v>
      </c>
      <c r="ES26" s="12">
        <v>600</v>
      </c>
      <c r="ET26" s="12">
        <v>0</v>
      </c>
      <c r="EU26" s="12">
        <v>45</v>
      </c>
      <c r="EV26" s="12">
        <v>246</v>
      </c>
      <c r="EW26" s="12">
        <v>120</v>
      </c>
      <c r="EX26" s="12">
        <v>310</v>
      </c>
      <c r="EY26" s="12">
        <v>0</v>
      </c>
      <c r="EZ26" s="12">
        <v>544</v>
      </c>
      <c r="FA26" s="12">
        <v>157</v>
      </c>
      <c r="FB26" s="12">
        <v>0</v>
      </c>
      <c r="FC26" s="35">
        <v>0</v>
      </c>
      <c r="FD26" s="35">
        <v>0</v>
      </c>
      <c r="FE26" s="35">
        <v>4</v>
      </c>
      <c r="FF26" s="35">
        <v>73</v>
      </c>
      <c r="FG26" s="35">
        <v>10</v>
      </c>
      <c r="FH26" s="35">
        <v>120</v>
      </c>
      <c r="FI26" s="35">
        <v>120</v>
      </c>
      <c r="FJ26" s="35">
        <v>120</v>
      </c>
      <c r="FK26" s="35" t="e">
        <f>VLOOKUP(H26,#REF!,2,)</f>
        <v>#REF!</v>
      </c>
      <c r="FL26" s="35">
        <v>0</v>
      </c>
      <c r="FM26" s="16" t="e">
        <f t="shared" si="3"/>
        <v>#REF!</v>
      </c>
      <c r="FN26" s="16" t="e">
        <f t="shared" si="6"/>
        <v>#REF!</v>
      </c>
      <c r="FO26" s="44" t="e">
        <f t="shared" si="4"/>
        <v>#REF!</v>
      </c>
      <c r="FR26" s="74">
        <f t="shared" si="1"/>
        <v>0</v>
      </c>
    </row>
    <row r="27" spans="1:182" s="10" customFormat="1" hidden="1">
      <c r="A27" s="12">
        <v>24</v>
      </c>
      <c r="B27" s="13" t="s">
        <v>22</v>
      </c>
      <c r="C27" s="13" t="s">
        <v>43</v>
      </c>
      <c r="D27" s="14">
        <v>4</v>
      </c>
      <c r="E27" s="14" t="s">
        <v>24</v>
      </c>
      <c r="F27" s="14">
        <v>4</v>
      </c>
      <c r="G27" s="14" t="s">
        <v>25</v>
      </c>
      <c r="H27" s="15">
        <v>691911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59</v>
      </c>
      <c r="V27" s="12">
        <v>40</v>
      </c>
      <c r="W27" s="12">
        <v>38</v>
      </c>
      <c r="X27" s="12">
        <v>96</v>
      </c>
      <c r="Y27" s="12">
        <v>68</v>
      </c>
      <c r="Z27" s="12">
        <v>123</v>
      </c>
      <c r="AA27" s="12">
        <v>71</v>
      </c>
      <c r="AB27" s="12">
        <v>64</v>
      </c>
      <c r="AC27" s="16">
        <v>35</v>
      </c>
      <c r="AD27" s="16">
        <v>71</v>
      </c>
      <c r="AE27" s="16">
        <v>110</v>
      </c>
      <c r="AF27" s="16">
        <v>66</v>
      </c>
      <c r="AG27" s="16">
        <v>38</v>
      </c>
      <c r="AH27" s="16">
        <v>120</v>
      </c>
      <c r="AI27" s="16">
        <v>80</v>
      </c>
      <c r="AJ27" s="16">
        <v>115</v>
      </c>
      <c r="AK27" s="16">
        <v>74</v>
      </c>
      <c r="AL27" s="16">
        <v>51</v>
      </c>
      <c r="AM27" s="34">
        <v>117</v>
      </c>
      <c r="AN27" s="34">
        <v>91</v>
      </c>
      <c r="AO27" s="34">
        <v>133</v>
      </c>
      <c r="AP27" s="34">
        <v>75</v>
      </c>
      <c r="AQ27" s="34">
        <v>51</v>
      </c>
      <c r="AR27" s="34">
        <v>20</v>
      </c>
      <c r="AS27" s="34">
        <v>34</v>
      </c>
      <c r="AT27" s="34">
        <v>8</v>
      </c>
      <c r="AU27" s="34">
        <v>24</v>
      </c>
      <c r="AV27" s="34">
        <v>19</v>
      </c>
      <c r="AW27" s="34">
        <v>13</v>
      </c>
      <c r="AX27" s="34">
        <v>10</v>
      </c>
      <c r="AY27" s="34">
        <v>5</v>
      </c>
      <c r="AZ27" s="34">
        <v>16</v>
      </c>
      <c r="BA27" s="34">
        <v>5</v>
      </c>
      <c r="BB27" s="34">
        <v>8</v>
      </c>
      <c r="BC27" s="34">
        <v>12</v>
      </c>
      <c r="BD27" s="34">
        <v>43</v>
      </c>
      <c r="BE27" s="34">
        <v>1</v>
      </c>
      <c r="BF27" s="34">
        <v>0</v>
      </c>
      <c r="BG27" s="34">
        <v>8</v>
      </c>
      <c r="BH27" s="34">
        <v>4</v>
      </c>
      <c r="BI27" s="34">
        <v>6</v>
      </c>
      <c r="BJ27" s="34">
        <v>2</v>
      </c>
      <c r="BK27" s="34">
        <v>1</v>
      </c>
      <c r="BL27" s="34">
        <v>1</v>
      </c>
      <c r="BM27" s="34">
        <v>11</v>
      </c>
      <c r="BN27" s="34">
        <v>0</v>
      </c>
      <c r="BO27" s="34">
        <v>2</v>
      </c>
      <c r="BP27" s="34">
        <v>0</v>
      </c>
      <c r="BQ27" s="34">
        <v>2</v>
      </c>
      <c r="BR27" s="34">
        <v>2</v>
      </c>
      <c r="BS27" s="34">
        <v>1</v>
      </c>
      <c r="BT27" s="34">
        <v>2</v>
      </c>
      <c r="BU27" s="34">
        <v>1</v>
      </c>
      <c r="BV27" s="34">
        <v>2</v>
      </c>
      <c r="BW27" s="34">
        <v>0</v>
      </c>
      <c r="BX27" s="34">
        <v>0</v>
      </c>
      <c r="BY27" s="34">
        <v>1</v>
      </c>
      <c r="BZ27" s="34">
        <v>4</v>
      </c>
      <c r="CA27" s="34">
        <v>2</v>
      </c>
      <c r="CB27" s="34">
        <v>1</v>
      </c>
      <c r="CC27" s="34">
        <v>0</v>
      </c>
      <c r="CD27" s="34">
        <v>0</v>
      </c>
      <c r="CE27" s="34">
        <v>1</v>
      </c>
      <c r="CF27" s="34">
        <v>1</v>
      </c>
      <c r="CG27" s="34">
        <v>0</v>
      </c>
      <c r="CH27" s="34">
        <v>0</v>
      </c>
      <c r="CI27" s="34">
        <v>1</v>
      </c>
      <c r="CJ27" s="34">
        <v>0</v>
      </c>
      <c r="CK27" s="34">
        <v>0</v>
      </c>
      <c r="CL27" s="34">
        <v>0</v>
      </c>
      <c r="CM27" s="34">
        <v>0</v>
      </c>
      <c r="CN27" s="34">
        <v>0</v>
      </c>
      <c r="CO27" s="34">
        <v>303</v>
      </c>
      <c r="CP27" s="34">
        <v>0</v>
      </c>
      <c r="CQ27" s="34">
        <v>0</v>
      </c>
      <c r="CR27" s="34">
        <v>0</v>
      </c>
      <c r="CS27" s="34">
        <v>0</v>
      </c>
      <c r="CT27" s="34">
        <v>0</v>
      </c>
      <c r="CU27" s="34">
        <v>0</v>
      </c>
      <c r="CV27" s="34">
        <v>0</v>
      </c>
      <c r="CW27" s="34">
        <v>0</v>
      </c>
      <c r="CX27" s="34">
        <v>0</v>
      </c>
      <c r="CY27" s="34">
        <v>0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0</v>
      </c>
      <c r="DI27" s="34">
        <v>0</v>
      </c>
      <c r="DJ27" s="34">
        <v>0</v>
      </c>
      <c r="DK27" s="34">
        <v>4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10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17">
        <f t="shared" si="2"/>
        <v>0</v>
      </c>
      <c r="EE27" s="17">
        <f t="shared" si="0"/>
        <v>0</v>
      </c>
      <c r="EF27" s="16">
        <f t="shared" si="5"/>
        <v>0</v>
      </c>
      <c r="EG27" s="18"/>
      <c r="EH27" s="12">
        <v>0</v>
      </c>
      <c r="EI27" s="80"/>
      <c r="EJ27" s="10" t="s">
        <v>407</v>
      </c>
      <c r="EK27" s="12">
        <v>1332</v>
      </c>
      <c r="EL27" s="12">
        <v>85</v>
      </c>
      <c r="EM27" s="12">
        <v>376</v>
      </c>
      <c r="EN27" s="12">
        <v>296</v>
      </c>
      <c r="EO27" s="12">
        <v>68</v>
      </c>
      <c r="EP27" s="12">
        <v>286</v>
      </c>
      <c r="EQ27" s="12">
        <v>288</v>
      </c>
      <c r="ER27" s="12">
        <v>205</v>
      </c>
      <c r="ES27" s="12">
        <v>86</v>
      </c>
      <c r="ET27" s="12">
        <v>144</v>
      </c>
      <c r="EU27" s="12">
        <v>20</v>
      </c>
      <c r="EV27" s="12">
        <v>149</v>
      </c>
      <c r="EW27" s="12">
        <v>8</v>
      </c>
      <c r="EX27" s="12">
        <v>227</v>
      </c>
      <c r="EY27" s="12">
        <v>19</v>
      </c>
      <c r="EZ27" s="12">
        <v>99</v>
      </c>
      <c r="FA27" s="12">
        <v>27</v>
      </c>
      <c r="FB27" s="12">
        <v>8</v>
      </c>
      <c r="FC27" s="35">
        <v>64</v>
      </c>
      <c r="FD27" s="35">
        <v>22</v>
      </c>
      <c r="FE27" s="35">
        <v>4</v>
      </c>
      <c r="FF27" s="35">
        <v>54</v>
      </c>
      <c r="FG27" s="35">
        <v>4</v>
      </c>
      <c r="FH27" s="35">
        <v>0</v>
      </c>
      <c r="FI27" s="35">
        <v>28</v>
      </c>
      <c r="FJ27" s="35">
        <v>28</v>
      </c>
      <c r="FK27" s="35" t="e">
        <f>VLOOKUP(H27,#REF!,2,)</f>
        <v>#REF!</v>
      </c>
      <c r="FL27" s="35">
        <v>1</v>
      </c>
      <c r="FM27" s="16" t="e">
        <f t="shared" si="3"/>
        <v>#REF!</v>
      </c>
      <c r="FN27" s="16" t="e">
        <f t="shared" si="6"/>
        <v>#REF!</v>
      </c>
      <c r="FO27" s="44" t="e">
        <f t="shared" si="4"/>
        <v>#REF!</v>
      </c>
      <c r="FR27" s="74">
        <f t="shared" si="1"/>
        <v>0</v>
      </c>
    </row>
    <row r="28" spans="1:182" s="10" customFormat="1" ht="15.75" hidden="1" customHeight="1">
      <c r="A28" s="12">
        <v>25</v>
      </c>
      <c r="B28" s="13" t="s">
        <v>22</v>
      </c>
      <c r="C28" s="13" t="s">
        <v>44</v>
      </c>
      <c r="D28" s="14">
        <v>10</v>
      </c>
      <c r="E28" s="14" t="s">
        <v>24</v>
      </c>
      <c r="F28" s="14">
        <v>0.9</v>
      </c>
      <c r="G28" s="14" t="s">
        <v>25</v>
      </c>
      <c r="H28" s="15">
        <v>795005</v>
      </c>
      <c r="I28" s="15" t="s">
        <v>26</v>
      </c>
      <c r="J28" s="16">
        <v>1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1</v>
      </c>
      <c r="V28" s="12">
        <v>11</v>
      </c>
      <c r="W28" s="12"/>
      <c r="X28" s="12"/>
      <c r="Y28" s="12">
        <v>1</v>
      </c>
      <c r="Z28" s="12">
        <v>107</v>
      </c>
      <c r="AA28" s="12">
        <v>0</v>
      </c>
      <c r="AB28" s="12">
        <v>41</v>
      </c>
      <c r="AC28" s="16">
        <v>40</v>
      </c>
      <c r="AD28" s="16">
        <v>10</v>
      </c>
      <c r="AE28" s="16">
        <v>39</v>
      </c>
      <c r="AF28" s="16">
        <v>1</v>
      </c>
      <c r="AG28" s="16">
        <v>10</v>
      </c>
      <c r="AH28" s="16">
        <v>32</v>
      </c>
      <c r="AI28" s="16">
        <v>10</v>
      </c>
      <c r="AJ28" s="16">
        <v>25</v>
      </c>
      <c r="AK28" s="16">
        <v>20</v>
      </c>
      <c r="AL28" s="16">
        <v>0</v>
      </c>
      <c r="AM28" s="34">
        <v>57</v>
      </c>
      <c r="AN28" s="34">
        <v>12</v>
      </c>
      <c r="AO28" s="34">
        <v>10</v>
      </c>
      <c r="AP28" s="34">
        <v>52</v>
      </c>
      <c r="AQ28" s="34">
        <v>49</v>
      </c>
      <c r="AR28" s="34">
        <v>1</v>
      </c>
      <c r="AS28" s="34">
        <v>25</v>
      </c>
      <c r="AT28" s="34">
        <v>70</v>
      </c>
      <c r="AU28" s="34">
        <v>8</v>
      </c>
      <c r="AV28" s="34">
        <v>0</v>
      </c>
      <c r="AW28" s="34">
        <v>0</v>
      </c>
      <c r="AX28" s="34">
        <v>120</v>
      </c>
      <c r="AY28" s="34">
        <v>1</v>
      </c>
      <c r="AZ28" s="34">
        <v>0</v>
      </c>
      <c r="BA28" s="34">
        <v>0</v>
      </c>
      <c r="BB28" s="34">
        <v>1</v>
      </c>
      <c r="BC28" s="34">
        <v>3</v>
      </c>
      <c r="BD28" s="34">
        <v>10</v>
      </c>
      <c r="BE28" s="34">
        <v>0</v>
      </c>
      <c r="BF28" s="34">
        <v>0</v>
      </c>
      <c r="BG28" s="34">
        <v>0</v>
      </c>
      <c r="BH28" s="34">
        <v>2</v>
      </c>
      <c r="BI28" s="34">
        <v>0</v>
      </c>
      <c r="BJ28" s="34">
        <v>0</v>
      </c>
      <c r="BK28" s="34">
        <v>5</v>
      </c>
      <c r="BL28" s="34">
        <v>0</v>
      </c>
      <c r="BM28" s="34">
        <v>2</v>
      </c>
      <c r="BN28" s="34">
        <v>0</v>
      </c>
      <c r="BO28" s="34">
        <v>12</v>
      </c>
      <c r="BP28" s="34">
        <v>15</v>
      </c>
      <c r="BQ28" s="34">
        <v>0</v>
      </c>
      <c r="BR28" s="34">
        <v>0</v>
      </c>
      <c r="BS28" s="34">
        <v>0</v>
      </c>
      <c r="BT28" s="34">
        <v>10</v>
      </c>
      <c r="BU28" s="34">
        <v>0</v>
      </c>
      <c r="BV28" s="34">
        <v>0</v>
      </c>
      <c r="BW28" s="34">
        <v>0</v>
      </c>
      <c r="BX28" s="34">
        <v>0</v>
      </c>
      <c r="BY28" s="34">
        <v>13</v>
      </c>
      <c r="BZ28" s="34">
        <v>11</v>
      </c>
      <c r="CA28" s="34">
        <v>3</v>
      </c>
      <c r="CB28" s="34">
        <v>0</v>
      </c>
      <c r="CC28" s="34">
        <v>0</v>
      </c>
      <c r="CD28" s="34">
        <v>0</v>
      </c>
      <c r="CE28" s="34">
        <v>0</v>
      </c>
      <c r="CF28" s="34">
        <v>0</v>
      </c>
      <c r="CG28" s="34">
        <v>1</v>
      </c>
      <c r="CH28" s="34">
        <v>0</v>
      </c>
      <c r="CI28" s="34">
        <v>0</v>
      </c>
      <c r="CJ28" s="34">
        <v>0</v>
      </c>
      <c r="CK28" s="34">
        <v>1</v>
      </c>
      <c r="CL28" s="34">
        <v>0</v>
      </c>
      <c r="CM28" s="34">
        <v>0</v>
      </c>
      <c r="CN28" s="34">
        <v>0</v>
      </c>
      <c r="CO28" s="34">
        <v>0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1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0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1</v>
      </c>
      <c r="DT28" s="34">
        <v>0</v>
      </c>
      <c r="DU28" s="34">
        <v>24</v>
      </c>
      <c r="DV28" s="34">
        <v>3</v>
      </c>
      <c r="DW28" s="34">
        <v>0</v>
      </c>
      <c r="DX28" s="34">
        <v>0</v>
      </c>
      <c r="DY28" s="34">
        <v>0</v>
      </c>
      <c r="DZ28" s="34">
        <v>1</v>
      </c>
      <c r="EA28" s="34">
        <v>0</v>
      </c>
      <c r="EB28" s="34">
        <v>0</v>
      </c>
      <c r="EC28" s="34">
        <v>0</v>
      </c>
      <c r="ED28" s="17">
        <f t="shared" si="2"/>
        <v>0.25</v>
      </c>
      <c r="EE28" s="17">
        <f t="shared" si="0"/>
        <v>0.75</v>
      </c>
      <c r="EF28" s="16">
        <f t="shared" si="5"/>
        <v>-0.25</v>
      </c>
      <c r="EG28" s="18"/>
      <c r="EH28" s="12">
        <v>0</v>
      </c>
      <c r="EI28" s="80"/>
      <c r="EK28" s="12">
        <v>50</v>
      </c>
      <c r="EL28" s="12">
        <v>10</v>
      </c>
      <c r="EM28" s="12">
        <v>0</v>
      </c>
      <c r="EN28" s="12">
        <v>110</v>
      </c>
      <c r="EO28" s="12">
        <v>40</v>
      </c>
      <c r="EP28" s="12">
        <v>50</v>
      </c>
      <c r="EQ28" s="12">
        <v>0</v>
      </c>
      <c r="ER28" s="12">
        <v>58</v>
      </c>
      <c r="ES28" s="12">
        <v>70</v>
      </c>
      <c r="ET28" s="12">
        <v>20</v>
      </c>
      <c r="EU28" s="12">
        <v>31</v>
      </c>
      <c r="EV28" s="12">
        <v>50</v>
      </c>
      <c r="EW28" s="12">
        <v>0</v>
      </c>
      <c r="EX28" s="12">
        <v>10</v>
      </c>
      <c r="EY28" s="12">
        <v>10</v>
      </c>
      <c r="EZ28" s="12">
        <v>52</v>
      </c>
      <c r="FA28" s="12">
        <v>10</v>
      </c>
      <c r="FB28" s="12">
        <v>40</v>
      </c>
      <c r="FC28" s="35">
        <v>30</v>
      </c>
      <c r="FD28" s="35">
        <v>10</v>
      </c>
      <c r="FE28" s="35">
        <v>0</v>
      </c>
      <c r="FF28" s="35">
        <v>159</v>
      </c>
      <c r="FG28" s="35">
        <v>44</v>
      </c>
      <c r="FH28" s="35">
        <v>0</v>
      </c>
      <c r="FI28" s="35">
        <v>0</v>
      </c>
      <c r="FJ28" s="35">
        <v>52</v>
      </c>
      <c r="FK28" s="35" t="e">
        <f>VLOOKUP(H28,#REF!,2,)</f>
        <v>#REF!</v>
      </c>
      <c r="FL28" s="35">
        <v>100</v>
      </c>
      <c r="FM28" s="16" t="e">
        <f t="shared" si="3"/>
        <v>#REF!</v>
      </c>
      <c r="FN28" s="16" t="e">
        <f t="shared" si="6"/>
        <v>#REF!</v>
      </c>
      <c r="FO28" s="44" t="e">
        <f t="shared" si="4"/>
        <v>#REF!</v>
      </c>
      <c r="FR28" s="74">
        <f t="shared" si="1"/>
        <v>0</v>
      </c>
    </row>
    <row r="29" spans="1:182" s="10" customFormat="1" hidden="1">
      <c r="A29" s="12">
        <v>26</v>
      </c>
      <c r="B29" s="13" t="s">
        <v>22</v>
      </c>
      <c r="C29" s="13" t="s">
        <v>45</v>
      </c>
      <c r="D29" s="14">
        <v>4</v>
      </c>
      <c r="E29" s="14" t="s">
        <v>24</v>
      </c>
      <c r="F29" s="14">
        <v>4</v>
      </c>
      <c r="G29" s="14" t="s">
        <v>25</v>
      </c>
      <c r="H29" s="15">
        <v>685850</v>
      </c>
      <c r="I29" s="15" t="s">
        <v>26</v>
      </c>
      <c r="J29" s="16">
        <v>0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52</v>
      </c>
      <c r="V29" s="12">
        <v>13</v>
      </c>
      <c r="W29" s="12">
        <v>41</v>
      </c>
      <c r="X29" s="12">
        <v>41</v>
      </c>
      <c r="Y29" s="12">
        <v>19</v>
      </c>
      <c r="Z29" s="12">
        <v>38</v>
      </c>
      <c r="AA29" s="12">
        <v>66</v>
      </c>
      <c r="AB29" s="12">
        <v>79</v>
      </c>
      <c r="AC29" s="16">
        <v>15</v>
      </c>
      <c r="AD29" s="16">
        <v>49</v>
      </c>
      <c r="AE29" s="16">
        <v>60</v>
      </c>
      <c r="AF29" s="16">
        <v>59</v>
      </c>
      <c r="AG29" s="16">
        <v>67</v>
      </c>
      <c r="AH29" s="16">
        <v>54</v>
      </c>
      <c r="AI29" s="16">
        <v>67</v>
      </c>
      <c r="AJ29" s="16">
        <v>73</v>
      </c>
      <c r="AK29" s="16">
        <v>60</v>
      </c>
      <c r="AL29" s="16">
        <v>84</v>
      </c>
      <c r="AM29" s="34">
        <v>116</v>
      </c>
      <c r="AN29" s="34">
        <v>151</v>
      </c>
      <c r="AO29" s="34">
        <v>176</v>
      </c>
      <c r="AP29" s="34">
        <v>39</v>
      </c>
      <c r="AQ29" s="34">
        <v>27</v>
      </c>
      <c r="AR29" s="34">
        <v>30</v>
      </c>
      <c r="AS29" s="34">
        <v>29</v>
      </c>
      <c r="AT29" s="34">
        <v>27</v>
      </c>
      <c r="AU29" s="34">
        <v>29</v>
      </c>
      <c r="AV29" s="34">
        <v>15</v>
      </c>
      <c r="AW29" s="34">
        <v>26</v>
      </c>
      <c r="AX29" s="34">
        <v>27</v>
      </c>
      <c r="AY29" s="34">
        <v>36</v>
      </c>
      <c r="AZ29" s="34">
        <v>54</v>
      </c>
      <c r="BA29" s="34">
        <v>12</v>
      </c>
      <c r="BB29" s="34">
        <v>24</v>
      </c>
      <c r="BC29" s="34">
        <v>103</v>
      </c>
      <c r="BD29" s="34">
        <v>21</v>
      </c>
      <c r="BE29" s="34">
        <v>14</v>
      </c>
      <c r="BF29" s="34">
        <v>32</v>
      </c>
      <c r="BG29" s="34">
        <v>12</v>
      </c>
      <c r="BH29" s="34">
        <v>18</v>
      </c>
      <c r="BI29" s="34">
        <v>2</v>
      </c>
      <c r="BJ29" s="34">
        <v>14</v>
      </c>
      <c r="BK29" s="34">
        <v>3</v>
      </c>
      <c r="BL29" s="34">
        <v>10</v>
      </c>
      <c r="BM29" s="34">
        <v>10</v>
      </c>
      <c r="BN29" s="34">
        <v>4</v>
      </c>
      <c r="BO29" s="34">
        <v>15</v>
      </c>
      <c r="BP29" s="34">
        <v>6</v>
      </c>
      <c r="BQ29" s="34">
        <v>11</v>
      </c>
      <c r="BR29" s="34">
        <v>7</v>
      </c>
      <c r="BS29" s="34">
        <v>11</v>
      </c>
      <c r="BT29" s="34">
        <v>11</v>
      </c>
      <c r="BU29" s="34">
        <v>13</v>
      </c>
      <c r="BV29" s="34">
        <v>15</v>
      </c>
      <c r="BW29" s="34">
        <v>2</v>
      </c>
      <c r="BX29" s="34">
        <v>16</v>
      </c>
      <c r="BY29" s="34">
        <v>6</v>
      </c>
      <c r="BZ29" s="34">
        <v>29</v>
      </c>
      <c r="CA29" s="34">
        <v>13</v>
      </c>
      <c r="CB29" s="34">
        <v>5</v>
      </c>
      <c r="CC29" s="34">
        <v>11</v>
      </c>
      <c r="CD29" s="34">
        <v>8</v>
      </c>
      <c r="CE29" s="34">
        <v>1</v>
      </c>
      <c r="CF29" s="34">
        <v>3</v>
      </c>
      <c r="CG29" s="34">
        <v>7</v>
      </c>
      <c r="CH29" s="34">
        <v>8</v>
      </c>
      <c r="CI29" s="34">
        <v>1</v>
      </c>
      <c r="CJ29" s="34">
        <v>11</v>
      </c>
      <c r="CK29" s="34">
        <v>4</v>
      </c>
      <c r="CL29" s="34">
        <v>11</v>
      </c>
      <c r="CM29" s="34">
        <v>5</v>
      </c>
      <c r="CN29" s="34">
        <v>8</v>
      </c>
      <c r="CO29" s="34">
        <v>0</v>
      </c>
      <c r="CP29" s="34">
        <v>10</v>
      </c>
      <c r="CQ29" s="34">
        <v>11</v>
      </c>
      <c r="CR29" s="34">
        <v>4</v>
      </c>
      <c r="CS29" s="34">
        <v>10</v>
      </c>
      <c r="CT29" s="34">
        <v>0</v>
      </c>
      <c r="CU29" s="34">
        <v>15</v>
      </c>
      <c r="CV29" s="34">
        <v>13</v>
      </c>
      <c r="CW29" s="34">
        <v>1</v>
      </c>
      <c r="CX29" s="34">
        <v>10</v>
      </c>
      <c r="CY29" s="34">
        <v>1</v>
      </c>
      <c r="CZ29" s="34">
        <v>9</v>
      </c>
      <c r="DA29" s="34">
        <v>0</v>
      </c>
      <c r="DB29" s="34">
        <v>0</v>
      </c>
      <c r="DC29" s="34">
        <v>0</v>
      </c>
      <c r="DD29" s="34">
        <v>2</v>
      </c>
      <c r="DE29" s="34">
        <v>1</v>
      </c>
      <c r="DF29" s="34">
        <v>1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2</v>
      </c>
      <c r="DO29" s="34">
        <v>0</v>
      </c>
      <c r="DP29" s="34">
        <v>0</v>
      </c>
      <c r="DQ29" s="34">
        <v>0</v>
      </c>
      <c r="DR29" s="34">
        <v>0</v>
      </c>
      <c r="DS29" s="34">
        <v>0</v>
      </c>
      <c r="DT29" s="34">
        <v>0</v>
      </c>
      <c r="DU29" s="34">
        <v>3</v>
      </c>
      <c r="DV29" s="34">
        <v>0</v>
      </c>
      <c r="DW29" s="34">
        <v>0</v>
      </c>
      <c r="DX29" s="34">
        <v>0</v>
      </c>
      <c r="DY29" s="34">
        <v>0</v>
      </c>
      <c r="DZ29" s="34">
        <v>0</v>
      </c>
      <c r="EA29" s="34">
        <v>0</v>
      </c>
      <c r="EB29" s="34">
        <v>0</v>
      </c>
      <c r="EC29" s="34">
        <v>0</v>
      </c>
      <c r="ED29" s="17">
        <f t="shared" si="2"/>
        <v>0</v>
      </c>
      <c r="EE29" s="17">
        <f t="shared" si="0"/>
        <v>0</v>
      </c>
      <c r="EF29" s="16">
        <f t="shared" si="5"/>
        <v>0</v>
      </c>
      <c r="EG29" s="18"/>
      <c r="EH29" s="12">
        <v>0</v>
      </c>
      <c r="EI29" s="80"/>
      <c r="EJ29" s="10" t="s">
        <v>407</v>
      </c>
      <c r="EK29" s="12">
        <v>32</v>
      </c>
      <c r="EL29" s="12">
        <v>24</v>
      </c>
      <c r="EM29" s="12">
        <v>52</v>
      </c>
      <c r="EN29" s="12">
        <v>140</v>
      </c>
      <c r="EO29" s="12">
        <v>80</v>
      </c>
      <c r="EP29" s="12">
        <v>80</v>
      </c>
      <c r="EQ29" s="12">
        <v>71</v>
      </c>
      <c r="ER29" s="12">
        <v>116</v>
      </c>
      <c r="ES29" s="12">
        <v>61</v>
      </c>
      <c r="ET29" s="12">
        <v>16</v>
      </c>
      <c r="EU29" s="12">
        <v>70</v>
      </c>
      <c r="EV29" s="12">
        <v>107</v>
      </c>
      <c r="EW29" s="12">
        <v>47</v>
      </c>
      <c r="EX29" s="12">
        <v>63</v>
      </c>
      <c r="EY29" s="12">
        <v>42</v>
      </c>
      <c r="EZ29" s="12">
        <v>81</v>
      </c>
      <c r="FA29" s="12">
        <v>97</v>
      </c>
      <c r="FB29" s="12">
        <v>89</v>
      </c>
      <c r="FC29" s="35">
        <v>36</v>
      </c>
      <c r="FD29" s="35">
        <v>74</v>
      </c>
      <c r="FE29" s="35">
        <v>20</v>
      </c>
      <c r="FF29" s="35">
        <v>22</v>
      </c>
      <c r="FG29" s="35">
        <v>86</v>
      </c>
      <c r="FH29" s="35">
        <v>28</v>
      </c>
      <c r="FI29" s="35">
        <v>55</v>
      </c>
      <c r="FJ29" s="35">
        <v>13</v>
      </c>
      <c r="FK29" s="35" t="e">
        <f>VLOOKUP(H29,#REF!,2,)</f>
        <v>#REF!</v>
      </c>
      <c r="FL29" s="35">
        <v>18</v>
      </c>
      <c r="FM29" s="16" t="e">
        <f t="shared" si="3"/>
        <v>#REF!</v>
      </c>
      <c r="FN29" s="16" t="e">
        <f t="shared" si="6"/>
        <v>#REF!</v>
      </c>
      <c r="FO29" s="44" t="e">
        <f t="shared" si="4"/>
        <v>#REF!</v>
      </c>
      <c r="FR29" s="74">
        <f t="shared" si="1"/>
        <v>0</v>
      </c>
    </row>
    <row r="30" spans="1:182" s="10" customFormat="1" hidden="1">
      <c r="A30" s="12">
        <v>27</v>
      </c>
      <c r="B30" s="13" t="s">
        <v>22</v>
      </c>
      <c r="C30" s="13" t="s">
        <v>45</v>
      </c>
      <c r="D30" s="14">
        <v>6</v>
      </c>
      <c r="E30" s="14" t="s">
        <v>24</v>
      </c>
      <c r="F30" s="14">
        <v>1</v>
      </c>
      <c r="G30" s="14" t="s">
        <v>25</v>
      </c>
      <c r="H30" s="15">
        <v>686031</v>
      </c>
      <c r="I30" s="15" t="s">
        <v>26</v>
      </c>
      <c r="J30" s="16">
        <v>119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112</v>
      </c>
      <c r="V30" s="12">
        <v>107</v>
      </c>
      <c r="W30" s="12">
        <v>117</v>
      </c>
      <c r="X30" s="12">
        <v>116</v>
      </c>
      <c r="Y30" s="12">
        <v>150</v>
      </c>
      <c r="Z30" s="12">
        <v>121</v>
      </c>
      <c r="AA30" s="12">
        <v>18</v>
      </c>
      <c r="AB30" s="12">
        <v>107</v>
      </c>
      <c r="AC30" s="16">
        <v>105</v>
      </c>
      <c r="AD30" s="16">
        <v>126</v>
      </c>
      <c r="AE30" s="16">
        <v>68</v>
      </c>
      <c r="AF30" s="16">
        <v>31</v>
      </c>
      <c r="AG30" s="16">
        <v>75</v>
      </c>
      <c r="AH30" s="16">
        <v>211</v>
      </c>
      <c r="AI30" s="16">
        <v>58</v>
      </c>
      <c r="AJ30" s="16">
        <v>147</v>
      </c>
      <c r="AK30" s="16">
        <v>33</v>
      </c>
      <c r="AL30" s="16">
        <v>34</v>
      </c>
      <c r="AM30" s="34">
        <v>67</v>
      </c>
      <c r="AN30" s="34">
        <v>57</v>
      </c>
      <c r="AO30" s="34">
        <v>163</v>
      </c>
      <c r="AP30" s="34">
        <v>27</v>
      </c>
      <c r="AQ30" s="34">
        <v>12</v>
      </c>
      <c r="AR30" s="34">
        <v>14</v>
      </c>
      <c r="AS30" s="34">
        <v>5</v>
      </c>
      <c r="AT30" s="34">
        <v>10</v>
      </c>
      <c r="AU30" s="34">
        <v>6</v>
      </c>
      <c r="AV30" s="34">
        <v>4</v>
      </c>
      <c r="AW30" s="34">
        <v>10</v>
      </c>
      <c r="AX30" s="34">
        <v>26</v>
      </c>
      <c r="AY30" s="34">
        <v>7</v>
      </c>
      <c r="AZ30" s="34">
        <v>18</v>
      </c>
      <c r="BA30" s="34">
        <v>21</v>
      </c>
      <c r="BB30" s="34">
        <v>2</v>
      </c>
      <c r="BC30" s="34">
        <v>112</v>
      </c>
      <c r="BD30" s="34">
        <v>2</v>
      </c>
      <c r="BE30" s="34">
        <v>4</v>
      </c>
      <c r="BF30" s="34">
        <v>0</v>
      </c>
      <c r="BG30" s="34">
        <v>5</v>
      </c>
      <c r="BH30" s="34">
        <v>6</v>
      </c>
      <c r="BI30" s="34">
        <v>0</v>
      </c>
      <c r="BJ30" s="34">
        <v>8</v>
      </c>
      <c r="BK30" s="34">
        <v>8</v>
      </c>
      <c r="BL30" s="34">
        <v>14</v>
      </c>
      <c r="BM30" s="34">
        <v>2</v>
      </c>
      <c r="BN30" s="34">
        <v>1</v>
      </c>
      <c r="BO30" s="34">
        <v>9</v>
      </c>
      <c r="BP30" s="34">
        <v>0</v>
      </c>
      <c r="BQ30" s="34">
        <v>5</v>
      </c>
      <c r="BR30" s="34">
        <v>2</v>
      </c>
      <c r="BS30" s="34">
        <v>0</v>
      </c>
      <c r="BT30" s="34">
        <v>0</v>
      </c>
      <c r="BU30" s="34">
        <v>0</v>
      </c>
      <c r="BV30" s="34">
        <v>0</v>
      </c>
      <c r="BW30" s="34">
        <v>0</v>
      </c>
      <c r="BX30" s="34">
        <v>6</v>
      </c>
      <c r="BY30" s="34">
        <v>2</v>
      </c>
      <c r="BZ30" s="34">
        <v>5</v>
      </c>
      <c r="CA30" s="34">
        <v>6</v>
      </c>
      <c r="CB30" s="34">
        <v>0</v>
      </c>
      <c r="CC30" s="34">
        <v>0</v>
      </c>
      <c r="CD30" s="34">
        <v>0</v>
      </c>
      <c r="CE30" s="34">
        <v>0</v>
      </c>
      <c r="CF30" s="34">
        <v>0</v>
      </c>
      <c r="CG30" s="34">
        <v>1</v>
      </c>
      <c r="CH30" s="34">
        <v>0</v>
      </c>
      <c r="CI30" s="34">
        <v>0</v>
      </c>
      <c r="CJ30" s="34">
        <v>0</v>
      </c>
      <c r="CK30" s="34">
        <v>10</v>
      </c>
      <c r="CL30" s="34">
        <v>0</v>
      </c>
      <c r="CM30" s="34">
        <v>8</v>
      </c>
      <c r="CN30" s="34">
        <v>6</v>
      </c>
      <c r="CO30" s="34">
        <v>0</v>
      </c>
      <c r="CP30" s="34">
        <v>0</v>
      </c>
      <c r="CQ30" s="34">
        <v>0</v>
      </c>
      <c r="CR30" s="34">
        <v>12</v>
      </c>
      <c r="CS30" s="34">
        <v>0</v>
      </c>
      <c r="CT30" s="34">
        <v>4</v>
      </c>
      <c r="CU30" s="34">
        <v>6</v>
      </c>
      <c r="CV30" s="34">
        <v>4</v>
      </c>
      <c r="CW30" s="34">
        <v>0</v>
      </c>
      <c r="CX30" s="34">
        <v>3</v>
      </c>
      <c r="CY30" s="34">
        <v>0</v>
      </c>
      <c r="CZ30" s="34">
        <v>0</v>
      </c>
      <c r="DA30" s="34">
        <v>0</v>
      </c>
      <c r="DB30" s="34">
        <v>0</v>
      </c>
      <c r="DC30" s="34">
        <v>0</v>
      </c>
      <c r="DD30" s="34">
        <v>0</v>
      </c>
      <c r="DE30" s="34">
        <v>5</v>
      </c>
      <c r="DF30" s="34">
        <v>36</v>
      </c>
      <c r="DG30" s="34">
        <v>0</v>
      </c>
      <c r="DH30" s="34">
        <v>0</v>
      </c>
      <c r="DI30" s="34">
        <v>164</v>
      </c>
      <c r="DJ30" s="34">
        <v>166</v>
      </c>
      <c r="DK30" s="34">
        <v>6</v>
      </c>
      <c r="DL30" s="34">
        <v>18</v>
      </c>
      <c r="DM30" s="34">
        <v>30</v>
      </c>
      <c r="DN30" s="34">
        <v>2</v>
      </c>
      <c r="DO30" s="34">
        <v>6</v>
      </c>
      <c r="DP30" s="34">
        <v>1</v>
      </c>
      <c r="DQ30" s="34">
        <v>0</v>
      </c>
      <c r="DR30" s="34">
        <v>0</v>
      </c>
      <c r="DS30" s="34">
        <v>30</v>
      </c>
      <c r="DT30" s="34">
        <v>28</v>
      </c>
      <c r="DU30" s="34">
        <v>32</v>
      </c>
      <c r="DV30" s="34">
        <v>6</v>
      </c>
      <c r="DW30" s="34">
        <v>0</v>
      </c>
      <c r="DX30" s="34">
        <v>0</v>
      </c>
      <c r="DY30" s="34">
        <v>24</v>
      </c>
      <c r="DZ30" s="34">
        <v>0</v>
      </c>
      <c r="EA30" s="34">
        <v>0</v>
      </c>
      <c r="EB30" s="34">
        <v>0</v>
      </c>
      <c r="EC30" s="34">
        <v>0</v>
      </c>
      <c r="ED30" s="17">
        <f t="shared" si="2"/>
        <v>0</v>
      </c>
      <c r="EE30" s="17">
        <f t="shared" si="0"/>
        <v>119</v>
      </c>
      <c r="EF30" s="16">
        <f t="shared" si="5"/>
        <v>-119</v>
      </c>
      <c r="EG30" s="18"/>
      <c r="EH30" s="12">
        <v>0</v>
      </c>
      <c r="EI30" s="80"/>
      <c r="EJ30" s="10" t="s">
        <v>419</v>
      </c>
      <c r="EK30" s="12">
        <v>118</v>
      </c>
      <c r="EL30" s="12">
        <v>102</v>
      </c>
      <c r="EM30" s="12">
        <v>108</v>
      </c>
      <c r="EN30" s="12">
        <v>149</v>
      </c>
      <c r="EO30" s="12">
        <v>206</v>
      </c>
      <c r="EP30" s="12">
        <v>187</v>
      </c>
      <c r="EQ30" s="12">
        <v>2</v>
      </c>
      <c r="ER30" s="12">
        <v>222</v>
      </c>
      <c r="ES30" s="12">
        <v>163</v>
      </c>
      <c r="ET30" s="12">
        <v>104</v>
      </c>
      <c r="EU30" s="12">
        <v>142</v>
      </c>
      <c r="EV30" s="12">
        <v>24</v>
      </c>
      <c r="EW30" s="12">
        <v>90</v>
      </c>
      <c r="EX30" s="12">
        <v>213</v>
      </c>
      <c r="EY30" s="12">
        <v>60</v>
      </c>
      <c r="EZ30" s="12">
        <v>156</v>
      </c>
      <c r="FA30" s="12">
        <v>58</v>
      </c>
      <c r="FB30" s="12">
        <v>38</v>
      </c>
      <c r="FC30" s="35">
        <v>38</v>
      </c>
      <c r="FD30" s="35">
        <v>26</v>
      </c>
      <c r="FE30" s="35">
        <v>6</v>
      </c>
      <c r="FF30" s="35">
        <v>8</v>
      </c>
      <c r="FG30" s="35">
        <v>10</v>
      </c>
      <c r="FH30" s="35">
        <v>12</v>
      </c>
      <c r="FI30" s="35">
        <v>24</v>
      </c>
      <c r="FJ30" s="35">
        <v>7</v>
      </c>
      <c r="FK30" s="35" t="e">
        <f>VLOOKUP(H30,#REF!,2,)</f>
        <v>#REF!</v>
      </c>
      <c r="FL30" s="35">
        <v>30</v>
      </c>
      <c r="FM30" s="16" t="e">
        <f t="shared" si="3"/>
        <v>#REF!</v>
      </c>
      <c r="FN30" s="16" t="e">
        <f t="shared" si="6"/>
        <v>#REF!</v>
      </c>
      <c r="FO30" s="44" t="e">
        <f t="shared" si="4"/>
        <v>#REF!</v>
      </c>
      <c r="FR30" s="74">
        <f t="shared" si="1"/>
        <v>0</v>
      </c>
    </row>
    <row r="31" spans="1:182" s="10" customFormat="1" hidden="1">
      <c r="A31" s="12">
        <v>28</v>
      </c>
      <c r="B31" s="13" t="s">
        <v>22</v>
      </c>
      <c r="C31" s="13" t="s">
        <v>46</v>
      </c>
      <c r="D31" s="14">
        <v>4</v>
      </c>
      <c r="E31" s="14" t="s">
        <v>24</v>
      </c>
      <c r="F31" s="14">
        <v>4</v>
      </c>
      <c r="G31" s="14" t="s">
        <v>25</v>
      </c>
      <c r="H31" s="15">
        <v>686033</v>
      </c>
      <c r="I31" s="15" t="s">
        <v>26</v>
      </c>
      <c r="J31" s="16">
        <v>28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31</v>
      </c>
      <c r="V31" s="12">
        <v>13</v>
      </c>
      <c r="W31" s="12">
        <v>26</v>
      </c>
      <c r="X31" s="12">
        <v>31</v>
      </c>
      <c r="Y31" s="12">
        <v>47</v>
      </c>
      <c r="Z31" s="12">
        <v>14</v>
      </c>
      <c r="AA31" s="12">
        <v>26</v>
      </c>
      <c r="AB31" s="12">
        <v>32</v>
      </c>
      <c r="AC31" s="16">
        <v>11</v>
      </c>
      <c r="AD31" s="16">
        <v>48</v>
      </c>
      <c r="AE31" s="16">
        <v>44</v>
      </c>
      <c r="AF31" s="16">
        <v>33</v>
      </c>
      <c r="AG31" s="16">
        <v>21</v>
      </c>
      <c r="AH31" s="16">
        <v>51</v>
      </c>
      <c r="AI31" s="16">
        <v>29</v>
      </c>
      <c r="AJ31" s="16">
        <v>45</v>
      </c>
      <c r="AK31" s="16">
        <v>45</v>
      </c>
      <c r="AL31" s="16">
        <v>38</v>
      </c>
      <c r="AM31" s="34">
        <v>69</v>
      </c>
      <c r="AN31" s="34">
        <v>34</v>
      </c>
      <c r="AO31" s="34">
        <v>120</v>
      </c>
      <c r="AP31" s="34">
        <v>10</v>
      </c>
      <c r="AQ31" s="34">
        <v>20</v>
      </c>
      <c r="AR31" s="34">
        <v>39</v>
      </c>
      <c r="AS31" s="34">
        <v>16</v>
      </c>
      <c r="AT31" s="34">
        <v>26</v>
      </c>
      <c r="AU31" s="34">
        <v>8</v>
      </c>
      <c r="AV31" s="34">
        <v>5</v>
      </c>
      <c r="AW31" s="34">
        <v>24</v>
      </c>
      <c r="AX31" s="34">
        <v>21</v>
      </c>
      <c r="AY31" s="34">
        <v>1</v>
      </c>
      <c r="AZ31" s="34">
        <v>17</v>
      </c>
      <c r="BA31" s="34">
        <v>32</v>
      </c>
      <c r="BB31" s="34">
        <v>3</v>
      </c>
      <c r="BC31" s="34">
        <v>106</v>
      </c>
      <c r="BD31" s="34">
        <v>16</v>
      </c>
      <c r="BE31" s="34">
        <v>11</v>
      </c>
      <c r="BF31" s="34">
        <v>5</v>
      </c>
      <c r="BG31" s="34">
        <v>4</v>
      </c>
      <c r="BH31" s="34">
        <v>6</v>
      </c>
      <c r="BI31" s="34">
        <v>2</v>
      </c>
      <c r="BJ31" s="34">
        <v>1</v>
      </c>
      <c r="BK31" s="34">
        <v>3</v>
      </c>
      <c r="BL31" s="34">
        <v>11</v>
      </c>
      <c r="BM31" s="34">
        <v>9</v>
      </c>
      <c r="BN31" s="34">
        <v>4</v>
      </c>
      <c r="BO31" s="34">
        <v>14</v>
      </c>
      <c r="BP31" s="34">
        <v>11</v>
      </c>
      <c r="BQ31" s="34">
        <v>2</v>
      </c>
      <c r="BR31" s="34">
        <v>1</v>
      </c>
      <c r="BS31" s="34">
        <v>1</v>
      </c>
      <c r="BT31" s="34">
        <v>9</v>
      </c>
      <c r="BU31" s="34">
        <v>4</v>
      </c>
      <c r="BV31" s="34">
        <v>15</v>
      </c>
      <c r="BW31" s="34">
        <v>1</v>
      </c>
      <c r="BX31" s="34">
        <v>0</v>
      </c>
      <c r="BY31" s="34">
        <v>1</v>
      </c>
      <c r="BZ31" s="34">
        <v>9</v>
      </c>
      <c r="CA31" s="34">
        <v>2</v>
      </c>
      <c r="CB31" s="34">
        <v>4</v>
      </c>
      <c r="CC31" s="34">
        <v>1</v>
      </c>
      <c r="CD31" s="34">
        <v>9</v>
      </c>
      <c r="CE31" s="34">
        <v>5</v>
      </c>
      <c r="CF31" s="34">
        <v>0</v>
      </c>
      <c r="CG31" s="34">
        <v>0</v>
      </c>
      <c r="CH31" s="34">
        <v>1</v>
      </c>
      <c r="CI31" s="34">
        <v>0</v>
      </c>
      <c r="CJ31" s="34">
        <v>2</v>
      </c>
      <c r="CK31" s="34">
        <v>0</v>
      </c>
      <c r="CL31" s="34">
        <v>4</v>
      </c>
      <c r="CM31" s="34">
        <v>0</v>
      </c>
      <c r="CN31" s="34">
        <v>2</v>
      </c>
      <c r="CO31" s="34">
        <v>0</v>
      </c>
      <c r="CP31" s="34">
        <v>0</v>
      </c>
      <c r="CQ31" s="34">
        <v>1</v>
      </c>
      <c r="CR31" s="34">
        <v>4</v>
      </c>
      <c r="CS31" s="34">
        <v>10</v>
      </c>
      <c r="CT31" s="34">
        <v>0</v>
      </c>
      <c r="CU31" s="34">
        <v>8</v>
      </c>
      <c r="CV31" s="34">
        <v>3</v>
      </c>
      <c r="CW31" s="34">
        <v>0</v>
      </c>
      <c r="CX31" s="34">
        <v>2</v>
      </c>
      <c r="CY31" s="34">
        <v>0</v>
      </c>
      <c r="CZ31" s="34">
        <v>14</v>
      </c>
      <c r="DA31" s="34">
        <v>1</v>
      </c>
      <c r="DB31" s="34">
        <v>24</v>
      </c>
      <c r="DC31" s="34">
        <v>4</v>
      </c>
      <c r="DD31" s="34">
        <v>24</v>
      </c>
      <c r="DE31" s="34">
        <v>23</v>
      </c>
      <c r="DF31" s="34">
        <v>2</v>
      </c>
      <c r="DG31" s="34">
        <v>2</v>
      </c>
      <c r="DH31" s="34">
        <v>3</v>
      </c>
      <c r="DI31" s="34">
        <v>10</v>
      </c>
      <c r="DJ31" s="34">
        <v>8</v>
      </c>
      <c r="DK31" s="34">
        <v>2</v>
      </c>
      <c r="DL31" s="34">
        <v>1</v>
      </c>
      <c r="DM31" s="34">
        <v>1</v>
      </c>
      <c r="DN31" s="34">
        <v>16</v>
      </c>
      <c r="DO31" s="34">
        <v>0</v>
      </c>
      <c r="DP31" s="34">
        <v>0</v>
      </c>
      <c r="DQ31" s="34">
        <v>0</v>
      </c>
      <c r="DR31" s="34">
        <v>1</v>
      </c>
      <c r="DS31" s="34">
        <v>0</v>
      </c>
      <c r="DT31" s="34">
        <v>16</v>
      </c>
      <c r="DU31" s="34">
        <v>10</v>
      </c>
      <c r="DV31" s="34">
        <v>9</v>
      </c>
      <c r="DW31" s="34">
        <v>0</v>
      </c>
      <c r="DX31" s="34">
        <v>4</v>
      </c>
      <c r="DY31" s="34">
        <v>8</v>
      </c>
      <c r="DZ31" s="34">
        <v>0</v>
      </c>
      <c r="EA31" s="34">
        <v>0</v>
      </c>
      <c r="EB31" s="34">
        <v>0</v>
      </c>
      <c r="EC31" s="34">
        <v>1</v>
      </c>
      <c r="ED31" s="17">
        <f t="shared" si="2"/>
        <v>0.25</v>
      </c>
      <c r="EE31" s="17">
        <f t="shared" si="0"/>
        <v>27.75</v>
      </c>
      <c r="EF31" s="16">
        <f t="shared" si="5"/>
        <v>-27.25</v>
      </c>
      <c r="EG31" s="18"/>
      <c r="EH31" s="12">
        <v>0</v>
      </c>
      <c r="EI31" s="80"/>
      <c r="EJ31" s="10" t="s">
        <v>407</v>
      </c>
      <c r="EK31" s="12">
        <v>34</v>
      </c>
      <c r="EL31" s="12">
        <v>36</v>
      </c>
      <c r="EM31" s="12">
        <v>16</v>
      </c>
      <c r="EN31" s="12">
        <v>140</v>
      </c>
      <c r="EO31" s="12">
        <v>104</v>
      </c>
      <c r="EP31" s="12">
        <v>48</v>
      </c>
      <c r="EQ31" s="12">
        <v>48</v>
      </c>
      <c r="ER31" s="12">
        <v>64</v>
      </c>
      <c r="ES31" s="12">
        <v>46</v>
      </c>
      <c r="ET31" s="12">
        <v>23</v>
      </c>
      <c r="EU31" s="12">
        <v>38</v>
      </c>
      <c r="EV31" s="12">
        <v>41</v>
      </c>
      <c r="EW31" s="12">
        <v>58</v>
      </c>
      <c r="EX31" s="12">
        <v>63</v>
      </c>
      <c r="EY31" s="12">
        <v>26</v>
      </c>
      <c r="EZ31" s="12">
        <v>11</v>
      </c>
      <c r="FA31" s="12">
        <v>63</v>
      </c>
      <c r="FB31" s="12">
        <v>24</v>
      </c>
      <c r="FC31" s="35">
        <v>31</v>
      </c>
      <c r="FD31" s="35">
        <v>4</v>
      </c>
      <c r="FE31" s="35">
        <v>16</v>
      </c>
      <c r="FF31" s="35">
        <v>21</v>
      </c>
      <c r="FG31" s="35">
        <v>12</v>
      </c>
      <c r="FH31" s="35">
        <v>36</v>
      </c>
      <c r="FI31" s="35">
        <v>34</v>
      </c>
      <c r="FJ31" s="35">
        <v>18</v>
      </c>
      <c r="FK31" s="35" t="e">
        <f>VLOOKUP(H31,#REF!,2,)</f>
        <v>#REF!</v>
      </c>
      <c r="FL31" s="35">
        <v>12</v>
      </c>
      <c r="FM31" s="16" t="e">
        <f t="shared" si="3"/>
        <v>#REF!</v>
      </c>
      <c r="FN31" s="16" t="e">
        <f t="shared" si="6"/>
        <v>#REF!</v>
      </c>
      <c r="FO31" s="44" t="e">
        <f t="shared" si="4"/>
        <v>#REF!</v>
      </c>
      <c r="FR31" s="74">
        <f t="shared" si="1"/>
        <v>0</v>
      </c>
    </row>
    <row r="32" spans="1:182" s="10" customFormat="1" hidden="1">
      <c r="A32" s="12">
        <v>29</v>
      </c>
      <c r="B32" s="13" t="s">
        <v>22</v>
      </c>
      <c r="C32" s="13" t="s">
        <v>47</v>
      </c>
      <c r="D32" s="14">
        <v>1</v>
      </c>
      <c r="E32" s="14" t="s">
        <v>24</v>
      </c>
      <c r="F32" s="14">
        <v>200</v>
      </c>
      <c r="G32" s="14" t="s">
        <v>25</v>
      </c>
      <c r="H32" s="15">
        <v>692332</v>
      </c>
      <c r="I32" s="15" t="s">
        <v>28</v>
      </c>
      <c r="J32" s="16">
        <v>11.230000000000008</v>
      </c>
      <c r="K32" s="87"/>
      <c r="L32" s="87"/>
      <c r="M32" s="87">
        <f>80</f>
        <v>80</v>
      </c>
      <c r="N32" s="12"/>
      <c r="O32" s="12"/>
      <c r="P32" s="12"/>
      <c r="Q32" s="12"/>
      <c r="R32" s="12"/>
      <c r="S32" s="12"/>
      <c r="T32" s="12">
        <f>80+50</f>
        <v>130</v>
      </c>
      <c r="U32" s="12">
        <v>35.5</v>
      </c>
      <c r="V32" s="12">
        <v>42.5</v>
      </c>
      <c r="W32" s="12">
        <v>31.62</v>
      </c>
      <c r="X32" s="12">
        <v>44.62</v>
      </c>
      <c r="Y32" s="12">
        <v>52.6</v>
      </c>
      <c r="Z32" s="12">
        <v>34.72</v>
      </c>
      <c r="AA32" s="21">
        <v>26.36</v>
      </c>
      <c r="AB32" s="12">
        <v>31.5</v>
      </c>
      <c r="AC32" s="16">
        <v>37.659999999999997</v>
      </c>
      <c r="AD32" s="16">
        <v>39.89</v>
      </c>
      <c r="AE32" s="16">
        <v>30.7</v>
      </c>
      <c r="AF32" s="16">
        <v>51.6</v>
      </c>
      <c r="AG32" s="16">
        <v>61.87</v>
      </c>
      <c r="AH32" s="16">
        <v>58.440000000000005</v>
      </c>
      <c r="AI32" s="16">
        <v>38.704999999999998</v>
      </c>
      <c r="AJ32" s="16">
        <v>59.1</v>
      </c>
      <c r="AK32" s="16">
        <v>38.299999999999997</v>
      </c>
      <c r="AL32" s="16">
        <v>34.519999999999996</v>
      </c>
      <c r="AM32" s="34">
        <v>46.72</v>
      </c>
      <c r="AN32" s="34">
        <v>33.31</v>
      </c>
      <c r="AO32" s="34">
        <v>36.034999999999997</v>
      </c>
      <c r="AP32" s="34">
        <v>45.67</v>
      </c>
      <c r="AQ32" s="34">
        <v>40.4</v>
      </c>
      <c r="AR32" s="34">
        <v>62.51</v>
      </c>
      <c r="AS32" s="34">
        <v>64.399999999999991</v>
      </c>
      <c r="AT32" s="34">
        <v>54.890000000000008</v>
      </c>
      <c r="AU32" s="34">
        <v>28.15</v>
      </c>
      <c r="AV32" s="34">
        <v>49.38</v>
      </c>
      <c r="AW32" s="34">
        <v>47.903461538461542</v>
      </c>
      <c r="AX32" s="34">
        <v>31.18</v>
      </c>
      <c r="AY32" s="34">
        <v>34.22</v>
      </c>
      <c r="AZ32" s="34">
        <v>46.6</v>
      </c>
      <c r="BA32" s="34">
        <v>43.33</v>
      </c>
      <c r="BB32" s="34">
        <v>42.16</v>
      </c>
      <c r="BC32" s="34">
        <v>70</v>
      </c>
      <c r="BD32" s="34">
        <v>72.48</v>
      </c>
      <c r="BE32" s="34">
        <v>43.4</v>
      </c>
      <c r="BF32" s="34">
        <v>45.52</v>
      </c>
      <c r="BG32" s="34">
        <v>42.494999999999997</v>
      </c>
      <c r="BH32" s="34">
        <v>53.42</v>
      </c>
      <c r="BI32" s="34">
        <v>26.76</v>
      </c>
      <c r="BJ32" s="34">
        <v>20.490000000000002</v>
      </c>
      <c r="BK32" s="34">
        <v>37.200000000000003</v>
      </c>
      <c r="BL32" s="34">
        <v>35.47</v>
      </c>
      <c r="BM32" s="34">
        <v>53.489999999999995</v>
      </c>
      <c r="BN32" s="34">
        <v>38.524999999999999</v>
      </c>
      <c r="BO32" s="34">
        <v>37.059999999999995</v>
      </c>
      <c r="BP32" s="34">
        <v>39.29</v>
      </c>
      <c r="BQ32" s="34">
        <v>47.534999999999997</v>
      </c>
      <c r="BR32" s="34">
        <v>58.530000000000008</v>
      </c>
      <c r="BS32" s="34">
        <v>27.044999999999998</v>
      </c>
      <c r="BT32" s="34">
        <v>31</v>
      </c>
      <c r="BU32" s="34">
        <v>35.585000000000001</v>
      </c>
      <c r="BV32" s="34">
        <v>25.594999999999999</v>
      </c>
      <c r="BW32" s="34">
        <v>31.824999999999999</v>
      </c>
      <c r="BX32" s="34">
        <v>35.75</v>
      </c>
      <c r="BY32" s="34">
        <v>36.480000000000004</v>
      </c>
      <c r="BZ32" s="34">
        <v>33.265000000000001</v>
      </c>
      <c r="CA32" s="34">
        <v>37.43</v>
      </c>
      <c r="CB32" s="34">
        <v>65.800000000000011</v>
      </c>
      <c r="CC32" s="34">
        <v>47.08</v>
      </c>
      <c r="CD32" s="34">
        <v>45.085000000000001</v>
      </c>
      <c r="CE32" s="34">
        <v>15.2</v>
      </c>
      <c r="CF32" s="34">
        <v>259.52499999999998</v>
      </c>
      <c r="CG32" s="34">
        <v>35.234999999999999</v>
      </c>
      <c r="CH32" s="34">
        <v>43.5</v>
      </c>
      <c r="CI32" s="34">
        <v>38.575000000000003</v>
      </c>
      <c r="CJ32" s="34">
        <v>40.25</v>
      </c>
      <c r="CK32" s="34">
        <v>30.3</v>
      </c>
      <c r="CL32" s="34">
        <v>64.2</v>
      </c>
      <c r="CM32" s="34">
        <v>79.8</v>
      </c>
      <c r="CN32" s="34">
        <v>63.15</v>
      </c>
      <c r="CO32" s="34">
        <v>55.4</v>
      </c>
      <c r="CP32" s="34">
        <v>49.3</v>
      </c>
      <c r="CQ32" s="34">
        <v>26.2</v>
      </c>
      <c r="CR32" s="34">
        <v>21.6</v>
      </c>
      <c r="CS32" s="34">
        <v>26.335000000000001</v>
      </c>
      <c r="CT32" s="34">
        <v>21</v>
      </c>
      <c r="CU32" s="34">
        <v>35.085000000000001</v>
      </c>
      <c r="CV32" s="34">
        <v>23.575000000000003</v>
      </c>
      <c r="CW32" s="34">
        <v>18.2</v>
      </c>
      <c r="CX32" s="34">
        <v>19.155000000000001</v>
      </c>
      <c r="CY32" s="34">
        <v>25.04</v>
      </c>
      <c r="CZ32" s="34">
        <v>14</v>
      </c>
      <c r="DA32" s="34">
        <v>24</v>
      </c>
      <c r="DB32" s="34">
        <v>31</v>
      </c>
      <c r="DC32" s="34">
        <v>10</v>
      </c>
      <c r="DD32" s="34">
        <v>10</v>
      </c>
      <c r="DE32" s="34">
        <v>48</v>
      </c>
      <c r="DF32" s="34">
        <v>24</v>
      </c>
      <c r="DG32" s="34">
        <v>11</v>
      </c>
      <c r="DH32" s="34">
        <v>4</v>
      </c>
      <c r="DI32" s="34">
        <v>2</v>
      </c>
      <c r="DJ32" s="34">
        <v>4</v>
      </c>
      <c r="DK32" s="34">
        <v>7</v>
      </c>
      <c r="DL32" s="34">
        <v>13</v>
      </c>
      <c r="DM32" s="34">
        <v>16</v>
      </c>
      <c r="DN32" s="34">
        <v>57.12</v>
      </c>
      <c r="DO32" s="34">
        <v>14</v>
      </c>
      <c r="DP32" s="34">
        <v>27</v>
      </c>
      <c r="DQ32" s="34">
        <v>35</v>
      </c>
      <c r="DR32" s="34">
        <v>25</v>
      </c>
      <c r="DS32" s="34">
        <v>6</v>
      </c>
      <c r="DT32" s="34">
        <v>10</v>
      </c>
      <c r="DU32" s="34">
        <v>17</v>
      </c>
      <c r="DV32" s="34">
        <v>11</v>
      </c>
      <c r="DW32" s="34">
        <v>19</v>
      </c>
      <c r="DX32" s="34">
        <v>19</v>
      </c>
      <c r="DY32" s="34">
        <v>24</v>
      </c>
      <c r="DZ32" s="34">
        <v>20</v>
      </c>
      <c r="EA32" s="34">
        <v>22</v>
      </c>
      <c r="EB32" s="34">
        <v>28</v>
      </c>
      <c r="EC32" s="34">
        <v>18</v>
      </c>
      <c r="ED32" s="17">
        <f t="shared" si="2"/>
        <v>22</v>
      </c>
      <c r="EE32" s="17">
        <f t="shared" si="0"/>
        <v>-60.769999999999996</v>
      </c>
      <c r="EF32" s="16">
        <f>(ED32*4)-EE32</f>
        <v>148.76999999999998</v>
      </c>
      <c r="EG32" s="18"/>
      <c r="EH32" s="12">
        <v>80</v>
      </c>
      <c r="EI32" s="80"/>
      <c r="EJ32" s="10" t="s">
        <v>93</v>
      </c>
      <c r="EK32" s="12">
        <v>39</v>
      </c>
      <c r="EL32" s="12">
        <v>33</v>
      </c>
      <c r="EM32" s="12">
        <v>37</v>
      </c>
      <c r="EN32" s="12">
        <v>68</v>
      </c>
      <c r="EO32" s="12">
        <v>66</v>
      </c>
      <c r="EP32" s="12">
        <v>66</v>
      </c>
      <c r="EQ32" s="12">
        <v>27</v>
      </c>
      <c r="ER32" s="12">
        <v>49</v>
      </c>
      <c r="ES32" s="12">
        <v>23</v>
      </c>
      <c r="ET32" s="12">
        <v>42.500000000000007</v>
      </c>
      <c r="EU32" s="12">
        <v>24</v>
      </c>
      <c r="EV32" s="12">
        <v>101</v>
      </c>
      <c r="EW32" s="12">
        <v>39</v>
      </c>
      <c r="EX32" s="12">
        <v>60</v>
      </c>
      <c r="EY32" s="12">
        <v>55</v>
      </c>
      <c r="EZ32" s="12">
        <v>28</v>
      </c>
      <c r="FA32" s="12">
        <v>18</v>
      </c>
      <c r="FB32" s="12">
        <v>36</v>
      </c>
      <c r="FC32" s="35">
        <v>33</v>
      </c>
      <c r="FD32" s="35">
        <v>51</v>
      </c>
      <c r="FE32" s="35">
        <v>37</v>
      </c>
      <c r="FF32" s="35">
        <v>21</v>
      </c>
      <c r="FG32" s="35">
        <v>42</v>
      </c>
      <c r="FH32" s="35">
        <v>48</v>
      </c>
      <c r="FI32" s="35">
        <v>74</v>
      </c>
      <c r="FJ32" s="35">
        <v>71</v>
      </c>
      <c r="FK32" s="35" t="e">
        <f>VLOOKUP(H32,#REF!,2,)</f>
        <v>#REF!</v>
      </c>
      <c r="FL32" s="35">
        <v>51</v>
      </c>
      <c r="FM32" s="16" t="e">
        <f t="shared" si="3"/>
        <v>#REF!</v>
      </c>
      <c r="FN32" s="16" t="e">
        <f t="shared" si="6"/>
        <v>#REF!</v>
      </c>
      <c r="FO32" s="44" t="e">
        <f t="shared" si="4"/>
        <v>#REF!</v>
      </c>
      <c r="FR32" s="74">
        <f t="shared" si="1"/>
        <v>16000</v>
      </c>
      <c r="FU32" s="10">
        <v>48</v>
      </c>
      <c r="FZ32" s="10">
        <f>24</f>
        <v>24</v>
      </c>
    </row>
    <row r="33" spans="1:185" s="10" customFormat="1" hidden="1">
      <c r="A33" s="12">
        <v>30</v>
      </c>
      <c r="B33" s="13" t="s">
        <v>22</v>
      </c>
      <c r="C33" s="13" t="s">
        <v>48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692334</v>
      </c>
      <c r="I33" s="15" t="s">
        <v>28</v>
      </c>
      <c r="J33" s="16">
        <v>10</v>
      </c>
      <c r="K33" s="12"/>
      <c r="L33" s="12"/>
      <c r="M33" s="12">
        <f>20</f>
        <v>20</v>
      </c>
      <c r="N33" s="12"/>
      <c r="O33" s="12"/>
      <c r="P33" s="12"/>
      <c r="Q33" s="12"/>
      <c r="R33" s="12"/>
      <c r="S33" s="12"/>
      <c r="T33" s="12"/>
      <c r="U33" s="12">
        <v>56.5</v>
      </c>
      <c r="V33" s="12">
        <v>37.64</v>
      </c>
      <c r="W33" s="12">
        <v>52</v>
      </c>
      <c r="X33" s="12">
        <v>72.400000000000006</v>
      </c>
      <c r="Y33" s="12">
        <v>43.6</v>
      </c>
      <c r="Z33" s="12">
        <v>34.1</v>
      </c>
      <c r="AA33" s="12">
        <v>27</v>
      </c>
      <c r="AB33" s="12">
        <v>66.599999999999994</v>
      </c>
      <c r="AC33" s="16">
        <v>90</v>
      </c>
      <c r="AD33" s="16">
        <v>63.800000000000004</v>
      </c>
      <c r="AE33" s="16">
        <v>61.4</v>
      </c>
      <c r="AF33" s="16">
        <v>60.839999999999996</v>
      </c>
      <c r="AG33" s="16">
        <v>67.78</v>
      </c>
      <c r="AH33" s="16">
        <v>72.84</v>
      </c>
      <c r="AI33" s="16">
        <v>73.900000000000006</v>
      </c>
      <c r="AJ33" s="16">
        <v>82</v>
      </c>
      <c r="AK33" s="16">
        <v>71.2</v>
      </c>
      <c r="AL33" s="16">
        <v>68.5</v>
      </c>
      <c r="AM33" s="34">
        <v>53</v>
      </c>
      <c r="AN33" s="34">
        <v>38.104999999999997</v>
      </c>
      <c r="AO33" s="34">
        <v>50.104999999999997</v>
      </c>
      <c r="AP33" s="34">
        <v>32.760000000000005</v>
      </c>
      <c r="AQ33" s="34">
        <v>46</v>
      </c>
      <c r="AR33" s="34">
        <v>93.12</v>
      </c>
      <c r="AS33" s="34">
        <v>64.7</v>
      </c>
      <c r="AT33" s="34">
        <v>67.099999999999994</v>
      </c>
      <c r="AU33" s="34">
        <v>93</v>
      </c>
      <c r="AV33" s="34">
        <v>35.49</v>
      </c>
      <c r="AW33" s="34">
        <v>25</v>
      </c>
      <c r="AX33" s="34">
        <v>27.400000000000002</v>
      </c>
      <c r="AY33" s="34">
        <v>19</v>
      </c>
      <c r="AZ33" s="34">
        <v>48.3</v>
      </c>
      <c r="BA33" s="34">
        <v>47.5</v>
      </c>
      <c r="BB33" s="34">
        <v>86</v>
      </c>
      <c r="BC33" s="34">
        <v>31.592307692307692</v>
      </c>
      <c r="BD33" s="34">
        <v>48.8</v>
      </c>
      <c r="BE33" s="34">
        <v>52.400000000000006</v>
      </c>
      <c r="BF33" s="34">
        <v>56.12</v>
      </c>
      <c r="BG33" s="34">
        <v>53.405000000000001</v>
      </c>
      <c r="BH33" s="34">
        <v>76.72</v>
      </c>
      <c r="BI33" s="34">
        <v>37.68</v>
      </c>
      <c r="BJ33" s="34">
        <v>20.450000000000003</v>
      </c>
      <c r="BK33" s="34">
        <v>40.200000000000003</v>
      </c>
      <c r="BL33" s="34">
        <v>24.200000000000003</v>
      </c>
      <c r="BM33" s="34">
        <v>32.700000000000003</v>
      </c>
      <c r="BN33" s="34">
        <v>38.700000000000003</v>
      </c>
      <c r="BO33" s="34">
        <v>24.3</v>
      </c>
      <c r="BP33" s="34">
        <v>60.5</v>
      </c>
      <c r="BQ33" s="34">
        <v>50.1</v>
      </c>
      <c r="BR33" s="34">
        <v>43.2</v>
      </c>
      <c r="BS33" s="34">
        <v>44.2</v>
      </c>
      <c r="BT33" s="34">
        <v>51.4</v>
      </c>
      <c r="BU33" s="34">
        <v>52.04</v>
      </c>
      <c r="BV33" s="34">
        <v>53</v>
      </c>
      <c r="BW33" s="34">
        <v>39.299999999999997</v>
      </c>
      <c r="BX33" s="34">
        <v>61.5</v>
      </c>
      <c r="BY33" s="34">
        <v>57.01</v>
      </c>
      <c r="BZ33" s="34">
        <v>56.5</v>
      </c>
      <c r="CA33" s="34">
        <v>76</v>
      </c>
      <c r="CB33" s="34">
        <v>97.2</v>
      </c>
      <c r="CC33" s="34">
        <v>50</v>
      </c>
      <c r="CD33" s="34">
        <v>81.3</v>
      </c>
      <c r="CE33" s="34">
        <v>44.68</v>
      </c>
      <c r="CF33" s="34">
        <v>37</v>
      </c>
      <c r="CG33" s="34">
        <v>21.25</v>
      </c>
      <c r="CH33" s="34">
        <v>26.9</v>
      </c>
      <c r="CI33" s="34">
        <v>31.6</v>
      </c>
      <c r="CJ33" s="34">
        <v>28.3</v>
      </c>
      <c r="CK33" s="34">
        <v>28.299999999999997</v>
      </c>
      <c r="CL33" s="34">
        <v>45</v>
      </c>
      <c r="CM33" s="34">
        <v>29</v>
      </c>
      <c r="CN33" s="34">
        <v>68.2</v>
      </c>
      <c r="CO33" s="34">
        <v>22.34</v>
      </c>
      <c r="CP33" s="34">
        <v>46.1</v>
      </c>
      <c r="CQ33" s="34">
        <v>31.880000000000003</v>
      </c>
      <c r="CR33" s="34">
        <v>23</v>
      </c>
      <c r="CS33" s="34">
        <v>29.459999999999997</v>
      </c>
      <c r="CT33" s="34">
        <v>12.18</v>
      </c>
      <c r="CU33" s="34">
        <v>22.36</v>
      </c>
      <c r="CV33" s="34">
        <v>29</v>
      </c>
      <c r="CW33" s="34">
        <v>11.514999999999999</v>
      </c>
      <c r="CX33" s="34">
        <v>21</v>
      </c>
      <c r="CY33" s="34">
        <v>26</v>
      </c>
      <c r="CZ33" s="34">
        <v>37</v>
      </c>
      <c r="DA33" s="34">
        <v>17</v>
      </c>
      <c r="DB33" s="34">
        <v>26.145</v>
      </c>
      <c r="DC33" s="34">
        <v>16</v>
      </c>
      <c r="DD33" s="34">
        <v>14.02</v>
      </c>
      <c r="DE33" s="34">
        <v>12</v>
      </c>
      <c r="DF33" s="34">
        <v>28</v>
      </c>
      <c r="DG33" s="34">
        <v>12</v>
      </c>
      <c r="DH33" s="34">
        <v>10</v>
      </c>
      <c r="DI33" s="34">
        <v>8</v>
      </c>
      <c r="DJ33" s="34">
        <v>2</v>
      </c>
      <c r="DK33" s="34">
        <v>8.120000000000001</v>
      </c>
      <c r="DL33" s="34">
        <v>7</v>
      </c>
      <c r="DM33" s="34">
        <v>16</v>
      </c>
      <c r="DN33" s="34">
        <v>9.06</v>
      </c>
      <c r="DO33" s="34">
        <v>13</v>
      </c>
      <c r="DP33" s="34">
        <v>9</v>
      </c>
      <c r="DQ33" s="34">
        <v>9</v>
      </c>
      <c r="DR33" s="34">
        <v>11</v>
      </c>
      <c r="DS33" s="34">
        <v>6</v>
      </c>
      <c r="DT33" s="34">
        <v>5</v>
      </c>
      <c r="DU33" s="34">
        <v>2</v>
      </c>
      <c r="DV33" s="34">
        <v>3</v>
      </c>
      <c r="DW33" s="34">
        <v>6</v>
      </c>
      <c r="DX33" s="34">
        <v>0</v>
      </c>
      <c r="DY33" s="34">
        <v>5</v>
      </c>
      <c r="DZ33" s="34">
        <v>3</v>
      </c>
      <c r="EA33" s="34">
        <v>18</v>
      </c>
      <c r="EB33" s="34">
        <v>7</v>
      </c>
      <c r="EC33" s="34">
        <v>1</v>
      </c>
      <c r="ED33" s="17">
        <f t="shared" si="2"/>
        <v>7.25</v>
      </c>
      <c r="EE33" s="17">
        <f t="shared" si="0"/>
        <v>22.75</v>
      </c>
      <c r="EF33" s="16">
        <f>(ED33*4)-EE33</f>
        <v>6.25</v>
      </c>
      <c r="EG33" s="18"/>
      <c r="EH33" s="12">
        <v>80</v>
      </c>
      <c r="EI33" s="80"/>
      <c r="EJ33" s="10" t="s">
        <v>93</v>
      </c>
      <c r="EK33" s="12">
        <v>11</v>
      </c>
      <c r="EL33" s="12">
        <v>25</v>
      </c>
      <c r="EM33" s="12">
        <v>79</v>
      </c>
      <c r="EN33" s="12">
        <v>50</v>
      </c>
      <c r="EO33" s="12">
        <v>154</v>
      </c>
      <c r="EP33" s="12">
        <v>45</v>
      </c>
      <c r="EQ33" s="12">
        <v>89</v>
      </c>
      <c r="ER33" s="12">
        <v>35</v>
      </c>
      <c r="ES33" s="12">
        <v>120</v>
      </c>
      <c r="ET33" s="12">
        <v>43</v>
      </c>
      <c r="EU33" s="12">
        <v>82</v>
      </c>
      <c r="EV33" s="12">
        <v>38</v>
      </c>
      <c r="EW33" s="12">
        <v>56</v>
      </c>
      <c r="EX33" s="12">
        <v>74</v>
      </c>
      <c r="EY33" s="12">
        <v>61</v>
      </c>
      <c r="EZ33" s="12">
        <v>43</v>
      </c>
      <c r="FA33" s="12">
        <v>69</v>
      </c>
      <c r="FB33" s="12">
        <v>32</v>
      </c>
      <c r="FC33" s="35">
        <v>86</v>
      </c>
      <c r="FD33" s="35">
        <v>32</v>
      </c>
      <c r="FE33" s="35">
        <v>45</v>
      </c>
      <c r="FF33" s="35">
        <v>28</v>
      </c>
      <c r="FG33" s="35">
        <v>50</v>
      </c>
      <c r="FH33" s="35">
        <v>102</v>
      </c>
      <c r="FI33" s="35">
        <v>55</v>
      </c>
      <c r="FJ33" s="35">
        <v>70</v>
      </c>
      <c r="FK33" s="35" t="e">
        <f>VLOOKUP(H33,#REF!,2,)</f>
        <v>#REF!</v>
      </c>
      <c r="FL33" s="35">
        <v>30</v>
      </c>
      <c r="FM33" s="16" t="e">
        <f t="shared" si="3"/>
        <v>#REF!</v>
      </c>
      <c r="FN33" s="16" t="e">
        <f>(J33+K33+#REF!+L33)-(T33+FM33)</f>
        <v>#REF!</v>
      </c>
      <c r="FO33" s="44" t="e">
        <f t="shared" si="4"/>
        <v>#REF!</v>
      </c>
      <c r="FR33" s="74">
        <f t="shared" si="1"/>
        <v>16000</v>
      </c>
    </row>
    <row r="34" spans="1:185" s="10" customFormat="1" hidden="1">
      <c r="A34" s="12">
        <v>31</v>
      </c>
      <c r="B34" s="13" t="s">
        <v>22</v>
      </c>
      <c r="C34" s="13" t="s">
        <v>49</v>
      </c>
      <c r="D34" s="14">
        <v>20</v>
      </c>
      <c r="E34" s="14" t="s">
        <v>24</v>
      </c>
      <c r="F34" s="14">
        <v>1</v>
      </c>
      <c r="G34" s="14" t="s">
        <v>25</v>
      </c>
      <c r="H34" s="15">
        <v>789360</v>
      </c>
      <c r="I34" s="15" t="s">
        <v>26</v>
      </c>
      <c r="J34" s="16">
        <v>993</v>
      </c>
      <c r="K34" s="20"/>
      <c r="L34" s="20"/>
      <c r="M34" s="20"/>
      <c r="N34" s="12"/>
      <c r="O34" s="12"/>
      <c r="P34" s="12"/>
      <c r="Q34" s="12"/>
      <c r="R34" s="12"/>
      <c r="S34" s="12"/>
      <c r="T34" s="12"/>
      <c r="U34" s="12">
        <v>2070</v>
      </c>
      <c r="V34" s="12">
        <v>56</v>
      </c>
      <c r="W34" s="12">
        <v>956</v>
      </c>
      <c r="X34" s="12">
        <v>950</v>
      </c>
      <c r="Y34" s="12">
        <v>724</v>
      </c>
      <c r="Z34" s="12">
        <v>766</v>
      </c>
      <c r="AA34" s="12">
        <v>1707</v>
      </c>
      <c r="AB34" s="12">
        <v>1395</v>
      </c>
      <c r="AC34" s="16">
        <v>1301</v>
      </c>
      <c r="AD34" s="16">
        <v>966</v>
      </c>
      <c r="AE34" s="16">
        <v>1928</v>
      </c>
      <c r="AF34" s="16">
        <v>1860</v>
      </c>
      <c r="AG34" s="16">
        <v>1997</v>
      </c>
      <c r="AH34" s="16">
        <v>3348</v>
      </c>
      <c r="AI34" s="16">
        <v>1825</v>
      </c>
      <c r="AJ34" s="16">
        <v>3038</v>
      </c>
      <c r="AK34" s="16">
        <v>967</v>
      </c>
      <c r="AL34" s="16">
        <v>1418</v>
      </c>
      <c r="AM34" s="34">
        <v>1750</v>
      </c>
      <c r="AN34" s="34">
        <v>1767</v>
      </c>
      <c r="AO34" s="34">
        <v>3913</v>
      </c>
      <c r="AP34" s="34">
        <v>1345</v>
      </c>
      <c r="AQ34" s="34">
        <v>1458</v>
      </c>
      <c r="AR34" s="34">
        <v>1697</v>
      </c>
      <c r="AS34" s="34">
        <v>1037</v>
      </c>
      <c r="AT34" s="34">
        <v>1458</v>
      </c>
      <c r="AU34" s="34">
        <v>776</v>
      </c>
      <c r="AV34" s="34">
        <v>1045</v>
      </c>
      <c r="AW34" s="34">
        <v>998</v>
      </c>
      <c r="AX34" s="34">
        <v>1195</v>
      </c>
      <c r="AY34" s="34">
        <v>1404</v>
      </c>
      <c r="AZ34" s="34">
        <v>1056</v>
      </c>
      <c r="BA34" s="34">
        <v>1781</v>
      </c>
      <c r="BB34" s="34">
        <v>1593</v>
      </c>
      <c r="BC34" s="34">
        <v>1072</v>
      </c>
      <c r="BD34" s="34">
        <v>1958</v>
      </c>
      <c r="BE34" s="34">
        <v>930</v>
      </c>
      <c r="BF34" s="34">
        <v>1813</v>
      </c>
      <c r="BG34" s="34">
        <v>1686</v>
      </c>
      <c r="BH34" s="34">
        <v>1385</v>
      </c>
      <c r="BI34" s="34">
        <v>797</v>
      </c>
      <c r="BJ34" s="34">
        <v>791</v>
      </c>
      <c r="BK34" s="34">
        <v>1270</v>
      </c>
      <c r="BL34" s="34">
        <v>655</v>
      </c>
      <c r="BM34" s="34">
        <v>768</v>
      </c>
      <c r="BN34" s="34">
        <v>967</v>
      </c>
      <c r="BO34" s="34">
        <v>1435</v>
      </c>
      <c r="BP34" s="34">
        <v>1072</v>
      </c>
      <c r="BQ34" s="34">
        <v>1347</v>
      </c>
      <c r="BR34" s="34">
        <v>822</v>
      </c>
      <c r="BS34" s="34">
        <v>980</v>
      </c>
      <c r="BT34" s="34">
        <v>1375</v>
      </c>
      <c r="BU34" s="34">
        <v>738</v>
      </c>
      <c r="BV34" s="34">
        <v>633</v>
      </c>
      <c r="BW34" s="34">
        <v>702</v>
      </c>
      <c r="BX34" s="34">
        <v>386</v>
      </c>
      <c r="BY34" s="34">
        <v>1060</v>
      </c>
      <c r="BZ34" s="34">
        <v>649</v>
      </c>
      <c r="CA34" s="34">
        <v>797</v>
      </c>
      <c r="CB34" s="34">
        <v>993</v>
      </c>
      <c r="CC34" s="34">
        <v>649</v>
      </c>
      <c r="CD34" s="34">
        <v>570</v>
      </c>
      <c r="CE34" s="34">
        <v>161</v>
      </c>
      <c r="CF34" s="34">
        <v>295</v>
      </c>
      <c r="CG34" s="34">
        <v>840</v>
      </c>
      <c r="CH34" s="34">
        <v>704</v>
      </c>
      <c r="CI34" s="34">
        <v>612</v>
      </c>
      <c r="CJ34" s="34">
        <v>277</v>
      </c>
      <c r="CK34" s="34">
        <v>188</v>
      </c>
      <c r="CL34" s="34">
        <v>548</v>
      </c>
      <c r="CM34" s="34">
        <v>278</v>
      </c>
      <c r="CN34" s="34">
        <v>504</v>
      </c>
      <c r="CO34" s="34">
        <v>170</v>
      </c>
      <c r="CP34" s="34">
        <v>541</v>
      </c>
      <c r="CQ34" s="34">
        <v>501</v>
      </c>
      <c r="CR34" s="34">
        <v>242</v>
      </c>
      <c r="CS34" s="34">
        <v>216</v>
      </c>
      <c r="CT34" s="34">
        <v>39</v>
      </c>
      <c r="CU34" s="34">
        <v>191</v>
      </c>
      <c r="CV34" s="34">
        <v>212</v>
      </c>
      <c r="CW34" s="34">
        <v>73</v>
      </c>
      <c r="CX34" s="34">
        <v>173</v>
      </c>
      <c r="CY34" s="34">
        <v>317</v>
      </c>
      <c r="CZ34" s="34">
        <v>415</v>
      </c>
      <c r="DA34" s="34">
        <v>224</v>
      </c>
      <c r="DB34" s="34">
        <v>387</v>
      </c>
      <c r="DC34" s="34">
        <v>56</v>
      </c>
      <c r="DD34" s="34">
        <v>74</v>
      </c>
      <c r="DE34" s="34">
        <v>138</v>
      </c>
      <c r="DF34" s="34">
        <v>298</v>
      </c>
      <c r="DG34" s="34">
        <v>312</v>
      </c>
      <c r="DH34" s="34">
        <v>62</v>
      </c>
      <c r="DI34" s="34">
        <v>184</v>
      </c>
      <c r="DJ34" s="34">
        <v>143</v>
      </c>
      <c r="DK34" s="34">
        <v>212</v>
      </c>
      <c r="DL34" s="34">
        <v>145</v>
      </c>
      <c r="DM34" s="34">
        <v>192</v>
      </c>
      <c r="DN34" s="34">
        <v>200</v>
      </c>
      <c r="DO34" s="34">
        <v>116</v>
      </c>
      <c r="DP34" s="34">
        <v>236</v>
      </c>
      <c r="DQ34" s="34">
        <v>247</v>
      </c>
      <c r="DR34" s="34">
        <v>167</v>
      </c>
      <c r="DS34" s="34">
        <v>149</v>
      </c>
      <c r="DT34" s="34">
        <v>78</v>
      </c>
      <c r="DU34" s="34">
        <v>147</v>
      </c>
      <c r="DV34" s="34">
        <v>54</v>
      </c>
      <c r="DW34" s="34">
        <v>127</v>
      </c>
      <c r="DX34" s="34">
        <v>88</v>
      </c>
      <c r="DY34" s="34">
        <v>107</v>
      </c>
      <c r="DZ34" s="34">
        <v>136</v>
      </c>
      <c r="EA34" s="34">
        <v>149</v>
      </c>
      <c r="EB34" s="34">
        <v>175</v>
      </c>
      <c r="EC34" s="34">
        <v>86</v>
      </c>
      <c r="ED34" s="17">
        <f t="shared" si="2"/>
        <v>136.5</v>
      </c>
      <c r="EE34" s="17">
        <f t="shared" si="0"/>
        <v>856.5</v>
      </c>
      <c r="EF34" s="16">
        <f>(ED34*4)-EE34</f>
        <v>-310.5</v>
      </c>
      <c r="EG34" s="18"/>
      <c r="EH34" s="12">
        <v>0</v>
      </c>
      <c r="EI34" s="80"/>
      <c r="EJ34" s="10" t="s">
        <v>96</v>
      </c>
      <c r="EK34" s="12">
        <v>1590</v>
      </c>
      <c r="EL34" s="12">
        <v>160</v>
      </c>
      <c r="EM34" s="12">
        <v>1681</v>
      </c>
      <c r="EN34" s="12">
        <v>2522</v>
      </c>
      <c r="EO34" s="12">
        <v>2620</v>
      </c>
      <c r="EP34" s="12">
        <v>1230</v>
      </c>
      <c r="EQ34" s="12">
        <v>1936</v>
      </c>
      <c r="ER34" s="12">
        <v>1661</v>
      </c>
      <c r="ES34" s="12">
        <v>2450</v>
      </c>
      <c r="ET34" s="12">
        <v>1148</v>
      </c>
      <c r="EU34" s="12">
        <v>2232</v>
      </c>
      <c r="EV34" s="12">
        <v>861</v>
      </c>
      <c r="EW34" s="12">
        <v>1894</v>
      </c>
      <c r="EX34" s="12">
        <v>1854</v>
      </c>
      <c r="EY34" s="12">
        <v>983</v>
      </c>
      <c r="EZ34" s="12">
        <v>2547</v>
      </c>
      <c r="FA34" s="12">
        <v>1940</v>
      </c>
      <c r="FB34" s="12">
        <v>1140</v>
      </c>
      <c r="FC34" s="35">
        <v>1422</v>
      </c>
      <c r="FD34" s="35">
        <v>840</v>
      </c>
      <c r="FE34" s="35">
        <v>2135</v>
      </c>
      <c r="FF34" s="35">
        <v>1395</v>
      </c>
      <c r="FG34" s="35">
        <v>1367</v>
      </c>
      <c r="FH34" s="35">
        <v>1925</v>
      </c>
      <c r="FI34" s="35">
        <v>1132</v>
      </c>
      <c r="FJ34" s="35">
        <v>1636</v>
      </c>
      <c r="FK34" s="35" t="e">
        <f>VLOOKUP(H34,#REF!,2,)</f>
        <v>#REF!</v>
      </c>
      <c r="FL34" s="35">
        <v>1518</v>
      </c>
      <c r="FM34" s="16" t="e">
        <f t="shared" si="3"/>
        <v>#REF!</v>
      </c>
      <c r="FN34" s="16" t="e">
        <f t="shared" ref="FN34:FN67" si="8">(J34+K34+L34+M34)-(T34+FM34)</f>
        <v>#REF!</v>
      </c>
      <c r="FO34" s="44" t="e">
        <f>(FM34*3)-FN34</f>
        <v>#REF!</v>
      </c>
      <c r="FP34" s="10" t="s">
        <v>91</v>
      </c>
      <c r="FR34" s="74">
        <f t="shared" si="1"/>
        <v>0</v>
      </c>
      <c r="FT34" s="10">
        <v>40</v>
      </c>
    </row>
    <row r="35" spans="1:185" s="112" customFormat="1" hidden="1">
      <c r="A35" s="12">
        <v>32</v>
      </c>
      <c r="B35" s="105" t="s">
        <v>50</v>
      </c>
      <c r="C35" s="105" t="s">
        <v>51</v>
      </c>
      <c r="D35" s="106">
        <v>6</v>
      </c>
      <c r="E35" s="106" t="s">
        <v>24</v>
      </c>
      <c r="F35" s="106">
        <v>1</v>
      </c>
      <c r="G35" s="106" t="s">
        <v>52</v>
      </c>
      <c r="H35" s="107" t="s">
        <v>53</v>
      </c>
      <c r="I35" s="107" t="s">
        <v>26</v>
      </c>
      <c r="J35" s="16">
        <v>131</v>
      </c>
      <c r="K35" s="109"/>
      <c r="L35" s="109"/>
      <c r="M35" s="109">
        <f>27*6</f>
        <v>162</v>
      </c>
      <c r="N35" s="12"/>
      <c r="O35" s="12"/>
      <c r="P35" s="12"/>
      <c r="Q35" s="12"/>
      <c r="R35" s="104"/>
      <c r="S35" s="104"/>
      <c r="T35" s="104"/>
      <c r="U35" s="12">
        <v>43</v>
      </c>
      <c r="V35" s="12">
        <v>19</v>
      </c>
      <c r="W35" s="12">
        <v>91</v>
      </c>
      <c r="X35" s="12">
        <v>103</v>
      </c>
      <c r="Y35" s="12">
        <v>89</v>
      </c>
      <c r="Z35" s="12">
        <v>84</v>
      </c>
      <c r="AA35" s="12">
        <v>214</v>
      </c>
      <c r="AB35" s="12">
        <v>150</v>
      </c>
      <c r="AC35" s="16">
        <v>184</v>
      </c>
      <c r="AD35" s="16">
        <v>162</v>
      </c>
      <c r="AE35" s="16"/>
      <c r="AF35" s="16">
        <v>414</v>
      </c>
      <c r="AG35" s="16">
        <v>306</v>
      </c>
      <c r="AH35" s="16">
        <v>567</v>
      </c>
      <c r="AI35" s="16">
        <v>347</v>
      </c>
      <c r="AJ35" s="16">
        <v>800</v>
      </c>
      <c r="AK35" s="16">
        <v>372</v>
      </c>
      <c r="AL35" s="16">
        <v>390</v>
      </c>
      <c r="AM35" s="34">
        <v>530</v>
      </c>
      <c r="AN35" s="34">
        <v>452</v>
      </c>
      <c r="AO35" s="34">
        <v>686</v>
      </c>
      <c r="AP35" s="34">
        <v>178</v>
      </c>
      <c r="AQ35" s="34">
        <v>379</v>
      </c>
      <c r="AR35" s="34">
        <v>564</v>
      </c>
      <c r="AS35" s="34">
        <v>504</v>
      </c>
      <c r="AT35" s="34">
        <v>637</v>
      </c>
      <c r="AU35" s="34">
        <v>230</v>
      </c>
      <c r="AV35" s="34">
        <v>269</v>
      </c>
      <c r="AW35" s="34">
        <v>396</v>
      </c>
      <c r="AX35" s="34">
        <v>284</v>
      </c>
      <c r="AY35" s="34">
        <v>524</v>
      </c>
      <c r="AZ35" s="34">
        <v>584</v>
      </c>
      <c r="BA35" s="34">
        <v>302</v>
      </c>
      <c r="BB35" s="34">
        <v>401</v>
      </c>
      <c r="BC35" s="34">
        <v>481</v>
      </c>
      <c r="BD35" s="34">
        <v>632</v>
      </c>
      <c r="BE35" s="34">
        <v>562</v>
      </c>
      <c r="BF35" s="34">
        <v>670</v>
      </c>
      <c r="BG35" s="34">
        <v>777</v>
      </c>
      <c r="BH35" s="34">
        <v>307</v>
      </c>
      <c r="BI35" s="34">
        <v>421</v>
      </c>
      <c r="BJ35" s="34">
        <v>404</v>
      </c>
      <c r="BK35" s="34">
        <v>571</v>
      </c>
      <c r="BL35" s="34">
        <v>237</v>
      </c>
      <c r="BM35" s="34">
        <v>217</v>
      </c>
      <c r="BN35" s="34">
        <v>186</v>
      </c>
      <c r="BO35" s="34">
        <v>295</v>
      </c>
      <c r="BP35" s="34">
        <v>365</v>
      </c>
      <c r="BQ35" s="34">
        <v>252</v>
      </c>
      <c r="BR35" s="34">
        <v>182</v>
      </c>
      <c r="BS35" s="34">
        <v>240</v>
      </c>
      <c r="BT35" s="34">
        <v>301</v>
      </c>
      <c r="BU35" s="34">
        <v>226</v>
      </c>
      <c r="BV35" s="34">
        <v>144</v>
      </c>
      <c r="BW35" s="34">
        <v>190</v>
      </c>
      <c r="BX35" s="34">
        <v>163</v>
      </c>
      <c r="BY35" s="34">
        <v>339</v>
      </c>
      <c r="BZ35" s="34">
        <v>163</v>
      </c>
      <c r="CA35" s="34">
        <v>169</v>
      </c>
      <c r="CB35" s="34">
        <v>212</v>
      </c>
      <c r="CC35" s="34">
        <v>145</v>
      </c>
      <c r="CD35" s="34">
        <v>263</v>
      </c>
      <c r="CE35" s="34">
        <v>10</v>
      </c>
      <c r="CF35" s="34">
        <v>41</v>
      </c>
      <c r="CG35" s="34">
        <v>70</v>
      </c>
      <c r="CH35" s="34">
        <v>213</v>
      </c>
      <c r="CI35" s="34">
        <v>97</v>
      </c>
      <c r="CJ35" s="34">
        <v>98</v>
      </c>
      <c r="CK35" s="34">
        <v>98</v>
      </c>
      <c r="CL35" s="34">
        <v>58</v>
      </c>
      <c r="CM35" s="34">
        <v>56</v>
      </c>
      <c r="CN35" s="34">
        <v>95</v>
      </c>
      <c r="CO35" s="34">
        <v>51</v>
      </c>
      <c r="CP35" s="34">
        <v>100</v>
      </c>
      <c r="CQ35" s="34">
        <v>150</v>
      </c>
      <c r="CR35" s="34">
        <v>54</v>
      </c>
      <c r="CS35" s="34">
        <v>53</v>
      </c>
      <c r="CT35" s="34">
        <v>3</v>
      </c>
      <c r="CU35" s="34">
        <v>63</v>
      </c>
      <c r="CV35" s="34">
        <v>128</v>
      </c>
      <c r="CW35" s="34">
        <v>12</v>
      </c>
      <c r="CX35" s="34">
        <v>29</v>
      </c>
      <c r="CY35" s="34">
        <v>19</v>
      </c>
      <c r="CZ35" s="34">
        <v>24</v>
      </c>
      <c r="DA35" s="34">
        <v>9</v>
      </c>
      <c r="DB35" s="34">
        <v>52</v>
      </c>
      <c r="DC35" s="34">
        <v>31</v>
      </c>
      <c r="DD35" s="34">
        <v>69</v>
      </c>
      <c r="DE35" s="34">
        <v>64</v>
      </c>
      <c r="DF35" s="34">
        <v>95</v>
      </c>
      <c r="DG35" s="34">
        <v>25</v>
      </c>
      <c r="DH35" s="34">
        <v>8</v>
      </c>
      <c r="DI35" s="34">
        <v>22</v>
      </c>
      <c r="DJ35" s="34">
        <v>20</v>
      </c>
      <c r="DK35" s="34">
        <v>19</v>
      </c>
      <c r="DL35" s="34">
        <v>52</v>
      </c>
      <c r="DM35" s="34">
        <v>50</v>
      </c>
      <c r="DN35" s="34">
        <v>28</v>
      </c>
      <c r="DO35" s="34">
        <v>40</v>
      </c>
      <c r="DP35" s="34">
        <v>36</v>
      </c>
      <c r="DQ35" s="34">
        <v>48</v>
      </c>
      <c r="DR35" s="34">
        <v>21</v>
      </c>
      <c r="DS35" s="34">
        <v>39</v>
      </c>
      <c r="DT35" s="34">
        <v>11</v>
      </c>
      <c r="DU35" s="34">
        <v>33</v>
      </c>
      <c r="DV35" s="34">
        <v>16</v>
      </c>
      <c r="DW35" s="34">
        <v>16</v>
      </c>
      <c r="DX35" s="34">
        <v>29</v>
      </c>
      <c r="DY35" s="34">
        <v>27</v>
      </c>
      <c r="DZ35" s="34">
        <v>9</v>
      </c>
      <c r="EA35" s="34">
        <v>5</v>
      </c>
      <c r="EB35" s="34">
        <v>48</v>
      </c>
      <c r="EC35" s="34">
        <v>21</v>
      </c>
      <c r="ED35" s="17">
        <f t="shared" si="2"/>
        <v>20.75</v>
      </c>
      <c r="EE35" s="110">
        <f t="shared" si="0"/>
        <v>272.25</v>
      </c>
      <c r="EF35" s="108">
        <f>(ED35*5)-EE35</f>
        <v>-168.5</v>
      </c>
      <c r="EG35" s="111"/>
      <c r="EH35" s="104">
        <v>0</v>
      </c>
      <c r="EI35" s="80"/>
      <c r="EJ35" s="112" t="s">
        <v>104</v>
      </c>
      <c r="EK35" s="12">
        <v>0</v>
      </c>
      <c r="EL35" s="12">
        <v>324</v>
      </c>
      <c r="EM35" s="12">
        <v>204</v>
      </c>
      <c r="EN35" s="12">
        <v>348</v>
      </c>
      <c r="EO35" s="12">
        <v>423</v>
      </c>
      <c r="EP35" s="12">
        <v>504</v>
      </c>
      <c r="EQ35" s="12">
        <v>283</v>
      </c>
      <c r="ER35" s="12">
        <v>230</v>
      </c>
      <c r="ES35" s="12">
        <v>192</v>
      </c>
      <c r="ET35" s="12">
        <v>218</v>
      </c>
      <c r="EU35" s="12">
        <v>60</v>
      </c>
      <c r="EV35" s="12">
        <v>373</v>
      </c>
      <c r="EW35" s="12">
        <v>330</v>
      </c>
      <c r="EX35" s="12">
        <v>466</v>
      </c>
      <c r="EY35" s="12">
        <v>346</v>
      </c>
      <c r="EZ35" s="12">
        <v>460</v>
      </c>
      <c r="FA35" s="12">
        <v>552</v>
      </c>
      <c r="FB35" s="12">
        <v>306</v>
      </c>
      <c r="FC35" s="35">
        <v>341</v>
      </c>
      <c r="FD35" s="35">
        <v>125</v>
      </c>
      <c r="FE35" s="35">
        <v>360</v>
      </c>
      <c r="FF35" s="35">
        <v>58</v>
      </c>
      <c r="FG35" s="35">
        <v>519</v>
      </c>
      <c r="FH35" s="35">
        <v>741</v>
      </c>
      <c r="FI35" s="35">
        <v>580</v>
      </c>
      <c r="FJ35" s="35">
        <v>680</v>
      </c>
      <c r="FK35" s="35" t="e">
        <f>VLOOKUP(H35,#REF!,2,)</f>
        <v>#REF!</v>
      </c>
      <c r="FL35" s="35">
        <v>245</v>
      </c>
      <c r="FM35" s="16" t="e">
        <f t="shared" si="3"/>
        <v>#REF!</v>
      </c>
      <c r="FN35" s="16" t="e">
        <f t="shared" si="8"/>
        <v>#REF!</v>
      </c>
      <c r="FO35" s="44" t="e">
        <f>(FM35*3)-FN35</f>
        <v>#REF!</v>
      </c>
      <c r="FP35" s="10" t="s">
        <v>94</v>
      </c>
      <c r="FQ35" s="10"/>
      <c r="FR35" s="10">
        <f>EH35*3.785</f>
        <v>0</v>
      </c>
      <c r="FT35" s="10">
        <v>27</v>
      </c>
      <c r="FU35" s="10"/>
      <c r="FV35" s="10"/>
      <c r="FW35" s="10"/>
      <c r="FX35" s="10"/>
      <c r="FY35" s="10"/>
      <c r="FZ35" s="10"/>
      <c r="GA35" s="10"/>
      <c r="GB35" s="10"/>
      <c r="GC35" s="10"/>
    </row>
    <row r="36" spans="1:185" s="10" customFormat="1" hidden="1">
      <c r="A36" s="12">
        <v>33</v>
      </c>
      <c r="B36" s="13" t="s">
        <v>22</v>
      </c>
      <c r="C36" s="13" t="s">
        <v>54</v>
      </c>
      <c r="D36" s="14">
        <v>24</v>
      </c>
      <c r="E36" s="14" t="s">
        <v>24</v>
      </c>
      <c r="F36" s="14">
        <v>0.8</v>
      </c>
      <c r="G36" s="14" t="s">
        <v>25</v>
      </c>
      <c r="H36" s="15">
        <v>844573</v>
      </c>
      <c r="I36" s="15" t="s">
        <v>26</v>
      </c>
      <c r="J36" s="16">
        <v>6400</v>
      </c>
      <c r="K36" s="20"/>
      <c r="L36" s="20">
        <f>440*24</f>
        <v>10560</v>
      </c>
      <c r="M36" s="20">
        <f>10560</f>
        <v>10560</v>
      </c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>
        <v>0</v>
      </c>
      <c r="AB36" s="12">
        <v>536</v>
      </c>
      <c r="AC36" s="16">
        <v>29</v>
      </c>
      <c r="AD36" s="16">
        <v>0</v>
      </c>
      <c r="AE36" s="16">
        <v>980</v>
      </c>
      <c r="AF36" s="16">
        <v>343</v>
      </c>
      <c r="AG36" s="16">
        <v>379</v>
      </c>
      <c r="AH36" s="16">
        <v>428</v>
      </c>
      <c r="AI36" s="16">
        <v>551</v>
      </c>
      <c r="AJ36" s="16">
        <v>610</v>
      </c>
      <c r="AK36" s="16">
        <v>500</v>
      </c>
      <c r="AL36" s="16">
        <v>653</v>
      </c>
      <c r="AM36" s="34">
        <v>565.4</v>
      </c>
      <c r="AN36" s="34">
        <v>983</v>
      </c>
      <c r="AO36" s="34">
        <v>841</v>
      </c>
      <c r="AP36" s="34">
        <v>1660</v>
      </c>
      <c r="AQ36" s="34">
        <v>819</v>
      </c>
      <c r="AR36" s="34">
        <v>2724</v>
      </c>
      <c r="AS36" s="34">
        <v>2606</v>
      </c>
      <c r="AT36" s="34">
        <v>826</v>
      </c>
      <c r="AU36" s="34">
        <v>1536</v>
      </c>
      <c r="AV36" s="34">
        <v>1508</v>
      </c>
      <c r="AW36" s="34">
        <v>1562</v>
      </c>
      <c r="AX36" s="34">
        <v>2629</v>
      </c>
      <c r="AY36" s="34">
        <v>2083</v>
      </c>
      <c r="AZ36" s="34">
        <v>2944</v>
      </c>
      <c r="BA36" s="34">
        <v>3117</v>
      </c>
      <c r="BB36" s="34">
        <v>1933</v>
      </c>
      <c r="BC36" s="34">
        <v>3816</v>
      </c>
      <c r="BD36" s="34">
        <v>4555</v>
      </c>
      <c r="BE36" s="34">
        <v>4975</v>
      </c>
      <c r="BF36" s="34">
        <v>6594</v>
      </c>
      <c r="BG36" s="34">
        <v>5735</v>
      </c>
      <c r="BH36" s="34">
        <v>2038</v>
      </c>
      <c r="BI36" s="34">
        <v>5708</v>
      </c>
      <c r="BJ36" s="34">
        <v>5899</v>
      </c>
      <c r="BK36" s="34">
        <v>7971</v>
      </c>
      <c r="BL36" s="34">
        <v>4450</v>
      </c>
      <c r="BM36" s="34">
        <v>4009</v>
      </c>
      <c r="BN36" s="34">
        <v>3663</v>
      </c>
      <c r="BO36" s="34">
        <v>5515</v>
      </c>
      <c r="BP36" s="34">
        <v>6486</v>
      </c>
      <c r="BQ36" s="34">
        <v>4187</v>
      </c>
      <c r="BR36" s="34">
        <v>3470</v>
      </c>
      <c r="BS36" s="34">
        <v>4305</v>
      </c>
      <c r="BT36" s="34">
        <v>5149</v>
      </c>
      <c r="BU36" s="34">
        <v>5232</v>
      </c>
      <c r="BV36" s="34">
        <v>4351</v>
      </c>
      <c r="BW36" s="34">
        <v>4768</v>
      </c>
      <c r="BX36" s="34">
        <v>5363</v>
      </c>
      <c r="BY36" s="34">
        <v>4413</v>
      </c>
      <c r="BZ36" s="34">
        <v>4235</v>
      </c>
      <c r="CA36" s="34">
        <v>4332</v>
      </c>
      <c r="CB36" s="34">
        <v>5601</v>
      </c>
      <c r="CC36" s="34">
        <v>4104</v>
      </c>
      <c r="CD36" s="34">
        <v>3257</v>
      </c>
      <c r="CE36" s="34">
        <v>1871</v>
      </c>
      <c r="CF36" s="34">
        <v>3287</v>
      </c>
      <c r="CG36" s="34">
        <v>3662</v>
      </c>
      <c r="CH36" s="34">
        <v>4153</v>
      </c>
      <c r="CI36" s="34">
        <v>4415</v>
      </c>
      <c r="CJ36" s="34">
        <v>3005</v>
      </c>
      <c r="CK36" s="34">
        <v>3402</v>
      </c>
      <c r="CL36" s="34">
        <v>3058</v>
      </c>
      <c r="CM36" s="34">
        <v>3459</v>
      </c>
      <c r="CN36" s="34">
        <v>3811</v>
      </c>
      <c r="CO36" s="34">
        <v>3694</v>
      </c>
      <c r="CP36" s="34">
        <v>5333</v>
      </c>
      <c r="CQ36" s="34">
        <v>7126</v>
      </c>
      <c r="CR36" s="34">
        <v>5135</v>
      </c>
      <c r="CS36" s="34">
        <v>2923</v>
      </c>
      <c r="CT36" s="34">
        <v>868</v>
      </c>
      <c r="CU36" s="34">
        <v>3240</v>
      </c>
      <c r="CV36" s="34">
        <v>5703</v>
      </c>
      <c r="CW36" s="34">
        <v>1225</v>
      </c>
      <c r="CX36" s="34">
        <v>2084</v>
      </c>
      <c r="CY36" s="34">
        <v>3462</v>
      </c>
      <c r="CZ36" s="34">
        <v>3329</v>
      </c>
      <c r="DA36" s="34">
        <v>4031</v>
      </c>
      <c r="DB36" s="34">
        <v>5168</v>
      </c>
      <c r="DC36" s="34">
        <v>1999</v>
      </c>
      <c r="DD36" s="34">
        <v>4136</v>
      </c>
      <c r="DE36" s="34">
        <v>3497</v>
      </c>
      <c r="DF36" s="34">
        <v>5597</v>
      </c>
      <c r="DG36" s="34">
        <v>2949</v>
      </c>
      <c r="DH36" s="34">
        <v>3101</v>
      </c>
      <c r="DI36" s="34">
        <v>2092</v>
      </c>
      <c r="DJ36" s="34">
        <v>989</v>
      </c>
      <c r="DK36" s="34">
        <v>3424</v>
      </c>
      <c r="DL36" s="34">
        <v>4803</v>
      </c>
      <c r="DM36" s="34">
        <v>2950</v>
      </c>
      <c r="DN36" s="34">
        <v>2758</v>
      </c>
      <c r="DO36" s="34">
        <v>2273</v>
      </c>
      <c r="DP36" s="34">
        <v>4077</v>
      </c>
      <c r="DQ36" s="34">
        <v>5205</v>
      </c>
      <c r="DR36" s="34">
        <v>3873</v>
      </c>
      <c r="DS36" s="34">
        <v>3209</v>
      </c>
      <c r="DT36" s="34">
        <v>1203</v>
      </c>
      <c r="DU36" s="34">
        <v>3206</v>
      </c>
      <c r="DV36" s="34">
        <v>1308</v>
      </c>
      <c r="DW36" s="34">
        <v>3590</v>
      </c>
      <c r="DX36" s="34">
        <v>2686</v>
      </c>
      <c r="DY36" s="34">
        <v>5174</v>
      </c>
      <c r="DZ36" s="34">
        <v>2539</v>
      </c>
      <c r="EA36" s="34">
        <v>4495</v>
      </c>
      <c r="EB36" s="34">
        <v>3935</v>
      </c>
      <c r="EC36" s="34">
        <v>251</v>
      </c>
      <c r="ED36" s="17">
        <f t="shared" si="2"/>
        <v>2805</v>
      </c>
      <c r="EE36" s="17">
        <f t="shared" ref="EE36:EE67" si="9">(J36+K36+L36+M36)-(N36+O36+P36+Q36+T36+R36+S36+ED36)</f>
        <v>24715</v>
      </c>
      <c r="EF36" s="16">
        <f>(ED36*6)-EE36</f>
        <v>-7885</v>
      </c>
      <c r="EG36" s="18"/>
      <c r="EH36" s="12">
        <f>440*24</f>
        <v>10560</v>
      </c>
      <c r="EI36" s="80">
        <f>EH36*1</f>
        <v>10560</v>
      </c>
      <c r="EJ36" s="10" t="s">
        <v>420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480</v>
      </c>
      <c r="ER36" s="12">
        <v>120</v>
      </c>
      <c r="ES36" s="12">
        <v>0</v>
      </c>
      <c r="ET36" s="12">
        <v>720</v>
      </c>
      <c r="EU36" s="12">
        <v>876</v>
      </c>
      <c r="EV36" s="12">
        <v>1223</v>
      </c>
      <c r="EW36" s="12">
        <v>772</v>
      </c>
      <c r="EX36" s="12">
        <v>613</v>
      </c>
      <c r="EY36" s="12">
        <v>102</v>
      </c>
      <c r="EZ36" s="12">
        <v>1268</v>
      </c>
      <c r="FA36" s="12">
        <v>1504</v>
      </c>
      <c r="FB36" s="12">
        <v>1356</v>
      </c>
      <c r="FC36" s="35">
        <v>474</v>
      </c>
      <c r="FD36" s="35">
        <v>744</v>
      </c>
      <c r="FE36" s="35">
        <v>1584</v>
      </c>
      <c r="FF36" s="35">
        <v>1598</v>
      </c>
      <c r="FG36" s="35">
        <v>48</v>
      </c>
      <c r="FH36" s="35">
        <v>5130</v>
      </c>
      <c r="FI36" s="35">
        <v>2824</v>
      </c>
      <c r="FJ36" s="35">
        <v>1829</v>
      </c>
      <c r="FK36" s="35" t="e">
        <f>VLOOKUP(H36,#REF!,2,)</f>
        <v>#REF!</v>
      </c>
      <c r="FL36" s="35">
        <v>924</v>
      </c>
      <c r="FM36" s="16" t="e">
        <f t="shared" si="3"/>
        <v>#REF!</v>
      </c>
      <c r="FN36" s="16" t="e">
        <f t="shared" si="8"/>
        <v>#REF!</v>
      </c>
      <c r="FO36" s="44" t="e">
        <f>(FM36*3)-FN36</f>
        <v>#REF!</v>
      </c>
      <c r="FP36" s="10" t="s">
        <v>108</v>
      </c>
      <c r="FR36" s="10">
        <f>EH36*0.8</f>
        <v>8448</v>
      </c>
      <c r="FV36" s="10">
        <v>160</v>
      </c>
      <c r="FY36" s="10">
        <f>40*9</f>
        <v>360</v>
      </c>
      <c r="GB36" s="10">
        <f>40*4</f>
        <v>160</v>
      </c>
    </row>
    <row r="37" spans="1:185" s="10" customFormat="1" hidden="1">
      <c r="A37" s="12">
        <v>34</v>
      </c>
      <c r="B37" s="13" t="s">
        <v>22</v>
      </c>
      <c r="C37" s="13" t="s">
        <v>55</v>
      </c>
      <c r="D37" s="14">
        <v>1</v>
      </c>
      <c r="E37" s="14" t="s">
        <v>24</v>
      </c>
      <c r="F37" s="14">
        <v>200</v>
      </c>
      <c r="G37" s="14" t="s">
        <v>25</v>
      </c>
      <c r="H37" s="15">
        <v>691782</v>
      </c>
      <c r="I37" s="15" t="s">
        <v>28</v>
      </c>
      <c r="J37" s="16">
        <v>1.100000000000001</v>
      </c>
      <c r="K37" s="85"/>
      <c r="L37" s="85"/>
      <c r="M37" s="85"/>
      <c r="N37" s="12"/>
      <c r="O37" s="12"/>
      <c r="P37" s="12"/>
      <c r="Q37" s="12"/>
      <c r="R37" s="12"/>
      <c r="S37" s="12"/>
      <c r="T37" s="12"/>
      <c r="U37" s="12">
        <v>0.24</v>
      </c>
      <c r="V37" s="12">
        <v>0.48</v>
      </c>
      <c r="W37" s="12">
        <v>3</v>
      </c>
      <c r="X37" s="12">
        <v>4.82</v>
      </c>
      <c r="Y37" s="12">
        <v>1.76</v>
      </c>
      <c r="Z37" s="12">
        <v>6.39</v>
      </c>
      <c r="AA37" s="12">
        <v>3</v>
      </c>
      <c r="AB37" s="12">
        <v>3.81</v>
      </c>
      <c r="AC37" s="16">
        <v>0.1</v>
      </c>
      <c r="AD37" s="16">
        <v>4</v>
      </c>
      <c r="AE37" s="16">
        <v>2.2599999999999998</v>
      </c>
      <c r="AF37" s="16">
        <v>2.7800000000000002</v>
      </c>
      <c r="AG37" s="16">
        <v>5.9599999999999991</v>
      </c>
      <c r="AH37" s="16">
        <v>3.24</v>
      </c>
      <c r="AI37" s="16">
        <v>2.2999999999999998</v>
      </c>
      <c r="AJ37" s="16">
        <v>1.2</v>
      </c>
      <c r="AK37" s="16">
        <v>1.28</v>
      </c>
      <c r="AL37" s="16">
        <v>1</v>
      </c>
      <c r="AM37" s="34">
        <v>8.2099999999999991</v>
      </c>
      <c r="AN37" s="34">
        <v>0.06</v>
      </c>
      <c r="AO37" s="34">
        <v>1.105</v>
      </c>
      <c r="AP37" s="34">
        <v>4</v>
      </c>
      <c r="AQ37" s="34">
        <v>0.9</v>
      </c>
      <c r="AR37" s="34">
        <v>3.16</v>
      </c>
      <c r="AS37" s="34">
        <v>2.2000000000000002</v>
      </c>
      <c r="AT37" s="34">
        <v>0.72</v>
      </c>
      <c r="AU37" s="34">
        <v>0</v>
      </c>
      <c r="AV37" s="34">
        <v>0.22</v>
      </c>
      <c r="AW37" s="34">
        <v>0.2</v>
      </c>
      <c r="AX37" s="34">
        <v>4.2</v>
      </c>
      <c r="AY37" s="34">
        <v>1.22</v>
      </c>
      <c r="AZ37" s="34">
        <v>0</v>
      </c>
      <c r="BA37" s="34">
        <v>2.44</v>
      </c>
      <c r="BB37" s="34">
        <v>1.44</v>
      </c>
      <c r="BC37" s="34">
        <v>1</v>
      </c>
      <c r="BD37" s="34">
        <v>3</v>
      </c>
      <c r="BE37" s="34">
        <v>0</v>
      </c>
      <c r="BF37" s="34">
        <v>2</v>
      </c>
      <c r="BG37" s="34">
        <v>0.26</v>
      </c>
      <c r="BH37" s="34">
        <v>0.22</v>
      </c>
      <c r="BI37" s="34">
        <v>0.12000000000000001</v>
      </c>
      <c r="BJ37" s="34">
        <v>2.0049999999999999</v>
      </c>
      <c r="BK37" s="34">
        <v>4.22</v>
      </c>
      <c r="BL37" s="34">
        <v>2</v>
      </c>
      <c r="BM37" s="34">
        <v>2</v>
      </c>
      <c r="BN37" s="34">
        <v>0</v>
      </c>
      <c r="BO37" s="34">
        <v>2</v>
      </c>
      <c r="BP37" s="34">
        <v>4.0075000000000003</v>
      </c>
      <c r="BQ37" s="34">
        <v>2</v>
      </c>
      <c r="BR37" s="34">
        <v>2.02</v>
      </c>
      <c r="BS37" s="34">
        <v>0</v>
      </c>
      <c r="BT37" s="34">
        <v>0</v>
      </c>
      <c r="BU37" s="34">
        <v>0</v>
      </c>
      <c r="BV37" s="34">
        <v>1</v>
      </c>
      <c r="BW37" s="34">
        <v>0</v>
      </c>
      <c r="BX37" s="34">
        <v>0</v>
      </c>
      <c r="BY37" s="34">
        <v>0</v>
      </c>
      <c r="BZ37" s="34">
        <v>0</v>
      </c>
      <c r="CA37" s="34">
        <v>0</v>
      </c>
      <c r="CB37" s="34">
        <v>0</v>
      </c>
      <c r="CC37" s="34">
        <v>0</v>
      </c>
      <c r="CD37" s="34">
        <v>0</v>
      </c>
      <c r="CE37" s="34">
        <v>0</v>
      </c>
      <c r="CF37" s="34">
        <v>1</v>
      </c>
      <c r="CG37" s="34">
        <v>0</v>
      </c>
      <c r="CH37" s="34">
        <v>5.0199999999999996</v>
      </c>
      <c r="CI37" s="34">
        <v>0</v>
      </c>
      <c r="CJ37" s="34">
        <v>4.2500000000000003E-2</v>
      </c>
      <c r="CK37" s="34">
        <v>0</v>
      </c>
      <c r="CL37" s="34">
        <v>0</v>
      </c>
      <c r="CM37" s="34">
        <v>1.3</v>
      </c>
      <c r="CN37" s="34">
        <v>0.2</v>
      </c>
      <c r="CO37" s="34">
        <v>0</v>
      </c>
      <c r="CP37" s="34">
        <v>0</v>
      </c>
      <c r="CQ37" s="34">
        <v>1.1000000000000001</v>
      </c>
      <c r="CR37" s="34">
        <v>0.1</v>
      </c>
      <c r="CS37" s="34">
        <v>0.69499999999999995</v>
      </c>
      <c r="CT37" s="34">
        <v>0.12000000000000001</v>
      </c>
      <c r="CU37" s="34">
        <v>0.46</v>
      </c>
      <c r="CV37" s="34">
        <v>0</v>
      </c>
      <c r="CW37" s="34">
        <v>0</v>
      </c>
      <c r="CX37" s="34">
        <v>0</v>
      </c>
      <c r="CY37" s="34">
        <v>0.04</v>
      </c>
      <c r="CZ37" s="34">
        <f>74/200</f>
        <v>0.37</v>
      </c>
      <c r="DA37" s="34">
        <v>0</v>
      </c>
      <c r="DB37" s="34">
        <v>0</v>
      </c>
      <c r="DC37" s="34">
        <v>0</v>
      </c>
      <c r="DD37" s="34">
        <v>0</v>
      </c>
      <c r="DE37" s="34">
        <v>0</v>
      </c>
      <c r="DF37" s="34">
        <v>0</v>
      </c>
      <c r="DG37" s="34">
        <v>0</v>
      </c>
      <c r="DH37" s="34">
        <v>0</v>
      </c>
      <c r="DI37" s="34">
        <v>0</v>
      </c>
      <c r="DJ37" s="34">
        <v>0</v>
      </c>
      <c r="DK37" s="34">
        <v>0</v>
      </c>
      <c r="DL37" s="34">
        <v>0</v>
      </c>
      <c r="DM37" s="34">
        <v>0</v>
      </c>
      <c r="DN37" s="34">
        <v>0</v>
      </c>
      <c r="DO37" s="34">
        <v>0</v>
      </c>
      <c r="DP37" s="34">
        <v>0</v>
      </c>
      <c r="DQ37" s="34">
        <v>0</v>
      </c>
      <c r="DR37" s="34">
        <v>0</v>
      </c>
      <c r="DS37" s="34">
        <v>0</v>
      </c>
      <c r="DT37" s="34">
        <v>0</v>
      </c>
      <c r="DU37" s="34">
        <v>0</v>
      </c>
      <c r="DV37" s="34">
        <v>0</v>
      </c>
      <c r="DW37" s="34">
        <v>0</v>
      </c>
      <c r="DX37" s="34">
        <v>0</v>
      </c>
      <c r="DY37" s="34">
        <v>0</v>
      </c>
      <c r="DZ37" s="34">
        <v>0</v>
      </c>
      <c r="EA37" s="34">
        <v>0</v>
      </c>
      <c r="EB37" s="34">
        <v>0</v>
      </c>
      <c r="EC37" s="34">
        <v>0</v>
      </c>
      <c r="ED37" s="17">
        <f t="shared" si="2"/>
        <v>0</v>
      </c>
      <c r="EE37" s="17">
        <f t="shared" si="9"/>
        <v>1.100000000000001</v>
      </c>
      <c r="EF37" s="16">
        <f t="shared" ref="EF37" si="10">(ED37*4)-EE37</f>
        <v>-1.100000000000001</v>
      </c>
      <c r="EG37" s="18"/>
      <c r="EH37" s="12">
        <v>0</v>
      </c>
      <c r="EI37" s="80"/>
      <c r="EJ37" s="10" t="s">
        <v>421</v>
      </c>
      <c r="EK37" s="12">
        <v>0</v>
      </c>
      <c r="EL37" s="12">
        <v>2</v>
      </c>
      <c r="EM37" s="12">
        <v>5</v>
      </c>
      <c r="EN37" s="12">
        <v>3</v>
      </c>
      <c r="EO37" s="12">
        <v>2</v>
      </c>
      <c r="EP37" s="12">
        <v>3.09</v>
      </c>
      <c r="EQ37" s="12">
        <v>5</v>
      </c>
      <c r="ER37" s="12">
        <v>0</v>
      </c>
      <c r="ES37" s="12">
        <v>0</v>
      </c>
      <c r="ET37" s="12">
        <v>2</v>
      </c>
      <c r="EU37" s="12">
        <v>2</v>
      </c>
      <c r="EV37" s="12">
        <v>7</v>
      </c>
      <c r="EW37" s="12">
        <v>4.18</v>
      </c>
      <c r="EX37" s="12">
        <v>2</v>
      </c>
      <c r="EY37" s="12">
        <v>1</v>
      </c>
      <c r="EZ37" s="12">
        <v>4</v>
      </c>
      <c r="FA37" s="12">
        <v>1</v>
      </c>
      <c r="FB37" s="12">
        <v>4</v>
      </c>
      <c r="FC37" s="35">
        <v>6</v>
      </c>
      <c r="FD37" s="35">
        <v>0</v>
      </c>
      <c r="FE37" s="35">
        <v>0</v>
      </c>
      <c r="FF37" s="35">
        <v>3</v>
      </c>
      <c r="FG37" s="35">
        <v>0.36</v>
      </c>
      <c r="FH37" s="35">
        <v>2</v>
      </c>
      <c r="FI37" s="35">
        <v>1</v>
      </c>
      <c r="FJ37" s="35">
        <v>0</v>
      </c>
      <c r="FK37" s="35" t="e">
        <f>VLOOKUP(H37,#REF!,2,)</f>
        <v>#REF!</v>
      </c>
      <c r="FL37" s="35">
        <v>0</v>
      </c>
      <c r="FM37" s="16" t="e">
        <f t="shared" si="3"/>
        <v>#REF!</v>
      </c>
      <c r="FN37" s="16" t="e">
        <f t="shared" si="8"/>
        <v>#REF!</v>
      </c>
      <c r="FO37" s="44" t="e">
        <f t="shared" si="4"/>
        <v>#REF!</v>
      </c>
      <c r="FR37" s="74">
        <f t="shared" ref="FR37:FR55" si="11">EH37*F37</f>
        <v>0</v>
      </c>
    </row>
    <row r="38" spans="1:185" s="10" customFormat="1" hidden="1">
      <c r="A38" s="12">
        <v>35</v>
      </c>
      <c r="B38" s="13" t="s">
        <v>22</v>
      </c>
      <c r="C38" s="13" t="s">
        <v>56</v>
      </c>
      <c r="D38" s="14">
        <v>1</v>
      </c>
      <c r="E38" s="14" t="s">
        <v>24</v>
      </c>
      <c r="F38" s="14">
        <v>18</v>
      </c>
      <c r="G38" s="14" t="s">
        <v>25</v>
      </c>
      <c r="H38" s="15">
        <v>724026</v>
      </c>
      <c r="I38" s="15" t="s">
        <v>29</v>
      </c>
      <c r="J38" s="16">
        <v>1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>
        <v>13</v>
      </c>
      <c r="V38" s="12">
        <v>24</v>
      </c>
      <c r="W38" s="12">
        <v>1</v>
      </c>
      <c r="X38" s="12">
        <v>27</v>
      </c>
      <c r="Y38" s="12">
        <v>2</v>
      </c>
      <c r="Z38" s="12">
        <v>2</v>
      </c>
      <c r="AA38" s="12">
        <v>17</v>
      </c>
      <c r="AB38" s="12">
        <v>2</v>
      </c>
      <c r="AC38" s="16">
        <v>1</v>
      </c>
      <c r="AD38" s="16">
        <v>16</v>
      </c>
      <c r="AE38" s="16">
        <v>7</v>
      </c>
      <c r="AF38" s="16">
        <v>5</v>
      </c>
      <c r="AG38" s="16">
        <v>13</v>
      </c>
      <c r="AH38" s="16">
        <v>10</v>
      </c>
      <c r="AI38" s="16">
        <v>7</v>
      </c>
      <c r="AJ38" s="16">
        <v>15</v>
      </c>
      <c r="AK38" s="16">
        <v>5</v>
      </c>
      <c r="AL38" s="16">
        <v>8</v>
      </c>
      <c r="AM38" s="34">
        <v>11</v>
      </c>
      <c r="AN38" s="34">
        <v>6</v>
      </c>
      <c r="AO38" s="34">
        <v>12</v>
      </c>
      <c r="AP38" s="34">
        <v>20</v>
      </c>
      <c r="AQ38" s="34">
        <v>3</v>
      </c>
      <c r="AR38" s="34">
        <v>22</v>
      </c>
      <c r="AS38" s="34">
        <v>16</v>
      </c>
      <c r="AT38" s="34">
        <v>25</v>
      </c>
      <c r="AU38" s="34">
        <v>3</v>
      </c>
      <c r="AV38" s="34">
        <v>14</v>
      </c>
      <c r="AW38" s="34">
        <v>7</v>
      </c>
      <c r="AX38" s="34">
        <v>2</v>
      </c>
      <c r="AY38" s="34">
        <v>7</v>
      </c>
      <c r="AZ38" s="34">
        <v>10</v>
      </c>
      <c r="BA38" s="34">
        <v>10</v>
      </c>
      <c r="BB38" s="34">
        <v>6</v>
      </c>
      <c r="BC38" s="34">
        <v>10</v>
      </c>
      <c r="BD38" s="34">
        <v>2</v>
      </c>
      <c r="BE38" s="34">
        <v>11</v>
      </c>
      <c r="BF38" s="34">
        <v>3</v>
      </c>
      <c r="BG38" s="34">
        <v>10</v>
      </c>
      <c r="BH38" s="34">
        <v>3</v>
      </c>
      <c r="BI38" s="34">
        <v>24</v>
      </c>
      <c r="BJ38" s="34">
        <v>1</v>
      </c>
      <c r="BK38" s="34">
        <v>0</v>
      </c>
      <c r="BL38" s="34">
        <v>0</v>
      </c>
      <c r="BM38" s="34">
        <v>1</v>
      </c>
      <c r="BN38" s="34">
        <v>7</v>
      </c>
      <c r="BO38" s="34">
        <v>2</v>
      </c>
      <c r="BP38" s="34">
        <v>2</v>
      </c>
      <c r="BQ38" s="34">
        <v>11</v>
      </c>
      <c r="BR38" s="34">
        <v>1</v>
      </c>
      <c r="BS38" s="34">
        <v>0</v>
      </c>
      <c r="BT38" s="34">
        <v>3</v>
      </c>
      <c r="BU38" s="34">
        <v>0</v>
      </c>
      <c r="BV38" s="34">
        <v>1</v>
      </c>
      <c r="BW38" s="34">
        <v>1</v>
      </c>
      <c r="BX38" s="34">
        <v>0</v>
      </c>
      <c r="BY38" s="34">
        <v>3</v>
      </c>
      <c r="BZ38" s="34">
        <v>0</v>
      </c>
      <c r="CA38" s="34">
        <v>1</v>
      </c>
      <c r="CB38" s="34">
        <v>0</v>
      </c>
      <c r="CC38" s="34">
        <v>15</v>
      </c>
      <c r="CD38" s="34">
        <v>2</v>
      </c>
      <c r="CE38" s="34">
        <v>2</v>
      </c>
      <c r="CF38" s="34">
        <v>3</v>
      </c>
      <c r="CG38" s="34">
        <v>2</v>
      </c>
      <c r="CH38" s="34">
        <v>4</v>
      </c>
      <c r="CI38" s="34">
        <v>1</v>
      </c>
      <c r="CJ38" s="34">
        <v>1</v>
      </c>
      <c r="CK38" s="34">
        <v>0</v>
      </c>
      <c r="CL38" s="34">
        <v>0</v>
      </c>
      <c r="CM38" s="34">
        <v>1</v>
      </c>
      <c r="CN38" s="34">
        <v>0</v>
      </c>
      <c r="CO38" s="34">
        <v>0</v>
      </c>
      <c r="CP38" s="34">
        <v>0</v>
      </c>
      <c r="CQ38" s="34">
        <v>0</v>
      </c>
      <c r="CR38" s="34">
        <v>0</v>
      </c>
      <c r="CS38" s="34">
        <v>0</v>
      </c>
      <c r="CT38" s="34">
        <v>1</v>
      </c>
      <c r="CU38" s="34">
        <v>0</v>
      </c>
      <c r="CV38" s="34">
        <v>0</v>
      </c>
      <c r="CW38" s="34">
        <v>0</v>
      </c>
      <c r="CX38" s="34">
        <v>0</v>
      </c>
      <c r="CY38" s="34">
        <v>0</v>
      </c>
      <c r="CZ38" s="34">
        <v>0</v>
      </c>
      <c r="DA38" s="34">
        <v>0</v>
      </c>
      <c r="DB38" s="34">
        <v>3</v>
      </c>
      <c r="DC38" s="34">
        <v>6</v>
      </c>
      <c r="DD38" s="34">
        <v>6</v>
      </c>
      <c r="DE38" s="34">
        <v>12</v>
      </c>
      <c r="DF38" s="34">
        <v>12</v>
      </c>
      <c r="DG38" s="34">
        <v>12</v>
      </c>
      <c r="DH38" s="34">
        <v>0</v>
      </c>
      <c r="DI38" s="34">
        <v>0</v>
      </c>
      <c r="DJ38" s="34">
        <v>0</v>
      </c>
      <c r="DK38" s="34">
        <v>2</v>
      </c>
      <c r="DL38" s="34">
        <v>0</v>
      </c>
      <c r="DM38" s="34">
        <v>0</v>
      </c>
      <c r="DN38" s="34">
        <v>0</v>
      </c>
      <c r="DO38" s="34">
        <v>0</v>
      </c>
      <c r="DP38" s="34">
        <v>2</v>
      </c>
      <c r="DQ38" s="34">
        <v>0</v>
      </c>
      <c r="DR38" s="34">
        <v>3</v>
      </c>
      <c r="DS38" s="34">
        <v>0</v>
      </c>
      <c r="DT38" s="34">
        <v>1</v>
      </c>
      <c r="DU38" s="34">
        <v>1</v>
      </c>
      <c r="DV38" s="34">
        <v>80</v>
      </c>
      <c r="DW38" s="34">
        <v>3</v>
      </c>
      <c r="DX38" s="34">
        <v>1</v>
      </c>
      <c r="DY38" s="34">
        <v>5</v>
      </c>
      <c r="DZ38" s="34">
        <v>0</v>
      </c>
      <c r="EA38" s="34">
        <v>0</v>
      </c>
      <c r="EB38" s="34">
        <v>0</v>
      </c>
      <c r="EC38" s="34">
        <v>0</v>
      </c>
      <c r="ED38" s="17">
        <f t="shared" si="2"/>
        <v>0</v>
      </c>
      <c r="EE38" s="17">
        <f t="shared" si="9"/>
        <v>1</v>
      </c>
      <c r="EF38" s="16">
        <f>(ED38*4)-EE38</f>
        <v>-1</v>
      </c>
      <c r="EG38" s="18"/>
      <c r="EH38" s="12">
        <v>0</v>
      </c>
      <c r="EI38" s="80"/>
      <c r="EJ38" s="10" t="s">
        <v>412</v>
      </c>
      <c r="EK38" s="12">
        <v>20</v>
      </c>
      <c r="EL38" s="12">
        <v>18</v>
      </c>
      <c r="EM38" s="12">
        <v>2</v>
      </c>
      <c r="EN38" s="12">
        <v>24</v>
      </c>
      <c r="EO38" s="12">
        <v>11</v>
      </c>
      <c r="EP38" s="12">
        <v>2</v>
      </c>
      <c r="EQ38" s="12">
        <v>64</v>
      </c>
      <c r="ER38" s="12">
        <v>31</v>
      </c>
      <c r="ES38" s="12">
        <v>0</v>
      </c>
      <c r="ET38" s="12">
        <v>15</v>
      </c>
      <c r="EU38" s="12">
        <v>10</v>
      </c>
      <c r="EV38" s="12">
        <v>4</v>
      </c>
      <c r="EW38" s="12">
        <v>9</v>
      </c>
      <c r="EX38" s="12">
        <v>6</v>
      </c>
      <c r="EY38" s="12">
        <v>2</v>
      </c>
      <c r="EZ38" s="12">
        <v>15</v>
      </c>
      <c r="FA38" s="12">
        <v>6</v>
      </c>
      <c r="FB38" s="12">
        <v>13</v>
      </c>
      <c r="FC38" s="35">
        <v>19</v>
      </c>
      <c r="FD38" s="35">
        <v>10</v>
      </c>
      <c r="FE38" s="35">
        <v>5</v>
      </c>
      <c r="FF38" s="35">
        <v>26</v>
      </c>
      <c r="FG38" s="35">
        <v>5</v>
      </c>
      <c r="FH38" s="35">
        <v>20</v>
      </c>
      <c r="FI38" s="35">
        <v>16</v>
      </c>
      <c r="FJ38" s="35">
        <v>16</v>
      </c>
      <c r="FK38" s="35" t="e">
        <f>VLOOKUP(H38,#REF!,2,)</f>
        <v>#REF!</v>
      </c>
      <c r="FL38" s="35">
        <v>32</v>
      </c>
      <c r="FM38" s="16" t="e">
        <f t="shared" si="3"/>
        <v>#REF!</v>
      </c>
      <c r="FN38" s="16" t="e">
        <f t="shared" si="8"/>
        <v>#REF!</v>
      </c>
      <c r="FO38" s="44" t="e">
        <f t="shared" si="4"/>
        <v>#REF!</v>
      </c>
      <c r="FR38" s="74">
        <f t="shared" si="11"/>
        <v>0</v>
      </c>
    </row>
    <row r="39" spans="1:185" s="10" customFormat="1" hidden="1">
      <c r="A39" s="12">
        <v>36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200</v>
      </c>
      <c r="G39" s="14" t="s">
        <v>25</v>
      </c>
      <c r="H39" s="15">
        <v>724027</v>
      </c>
      <c r="I39" s="15" t="s">
        <v>28</v>
      </c>
      <c r="J39" s="16">
        <v>0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4</v>
      </c>
      <c r="V39" s="12">
        <v>1.02</v>
      </c>
      <c r="W39" s="12"/>
      <c r="X39" s="12">
        <v>2</v>
      </c>
      <c r="Y39" s="12">
        <v>1</v>
      </c>
      <c r="Z39" s="12">
        <v>2</v>
      </c>
      <c r="AA39" s="12">
        <v>0</v>
      </c>
      <c r="AB39" s="12">
        <v>0</v>
      </c>
      <c r="AC39" s="16">
        <v>1</v>
      </c>
      <c r="AD39" s="16">
        <v>1</v>
      </c>
      <c r="AE39" s="16">
        <v>4</v>
      </c>
      <c r="AF39" s="16">
        <v>0</v>
      </c>
      <c r="AG39" s="16">
        <v>2</v>
      </c>
      <c r="AH39" s="16">
        <v>0</v>
      </c>
      <c r="AI39" s="16">
        <v>1</v>
      </c>
      <c r="AJ39" s="16">
        <v>3</v>
      </c>
      <c r="AK39" s="16">
        <v>2</v>
      </c>
      <c r="AL39" s="16">
        <v>1</v>
      </c>
      <c r="AM39" s="34">
        <v>1</v>
      </c>
      <c r="AN39" s="34">
        <v>1</v>
      </c>
      <c r="AO39" s="34">
        <v>1</v>
      </c>
      <c r="AP39" s="34">
        <v>1</v>
      </c>
      <c r="AQ39" s="34">
        <v>1</v>
      </c>
      <c r="AR39" s="34">
        <v>5</v>
      </c>
      <c r="AS39" s="34">
        <v>3</v>
      </c>
      <c r="AT39" s="34">
        <v>1</v>
      </c>
      <c r="AU39" s="34">
        <v>0</v>
      </c>
      <c r="AV39" s="34">
        <v>3</v>
      </c>
      <c r="AW39" s="34">
        <v>4</v>
      </c>
      <c r="AX39" s="34">
        <v>2</v>
      </c>
      <c r="AY39" s="34">
        <v>0</v>
      </c>
      <c r="AZ39" s="34">
        <v>3</v>
      </c>
      <c r="BA39" s="34">
        <v>6</v>
      </c>
      <c r="BB39" s="34">
        <v>3</v>
      </c>
      <c r="BC39" s="34">
        <v>6</v>
      </c>
      <c r="BD39" s="34">
        <v>6</v>
      </c>
      <c r="BE39" s="34">
        <v>3</v>
      </c>
      <c r="BF39" s="34">
        <v>6</v>
      </c>
      <c r="BG39" s="34">
        <v>10</v>
      </c>
      <c r="BH39" s="34">
        <v>0</v>
      </c>
      <c r="BI39" s="34">
        <v>3</v>
      </c>
      <c r="BJ39" s="34">
        <v>0</v>
      </c>
      <c r="BK39" s="34">
        <v>0</v>
      </c>
      <c r="BL39" s="34">
        <v>0</v>
      </c>
      <c r="BM39" s="34">
        <v>0</v>
      </c>
      <c r="BN39" s="34">
        <v>3</v>
      </c>
      <c r="BO39" s="34">
        <v>0</v>
      </c>
      <c r="BP39" s="34">
        <v>0</v>
      </c>
      <c r="BQ39" s="34">
        <v>1</v>
      </c>
      <c r="BR39" s="34">
        <v>0</v>
      </c>
      <c r="BS39" s="34">
        <v>0</v>
      </c>
      <c r="BT39" s="34">
        <v>0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4">
        <v>2</v>
      </c>
      <c r="CA39" s="34">
        <v>0</v>
      </c>
      <c r="CB39" s="34">
        <v>0</v>
      </c>
      <c r="CC39" s="34">
        <v>0</v>
      </c>
      <c r="CD39" s="34">
        <v>2</v>
      </c>
      <c r="CE39" s="34">
        <v>0</v>
      </c>
      <c r="CF39" s="34">
        <v>0</v>
      </c>
      <c r="CG39" s="34">
        <v>0</v>
      </c>
      <c r="CH39" s="34">
        <v>1</v>
      </c>
      <c r="CI39" s="34">
        <v>0</v>
      </c>
      <c r="CJ39" s="34">
        <v>0</v>
      </c>
      <c r="CK39" s="34">
        <v>0</v>
      </c>
      <c r="CL39" s="34">
        <v>1</v>
      </c>
      <c r="CM39" s="34">
        <v>0</v>
      </c>
      <c r="CN39" s="34">
        <v>2</v>
      </c>
      <c r="CO39" s="34">
        <v>1</v>
      </c>
      <c r="CP39" s="34">
        <v>0</v>
      </c>
      <c r="CQ39" s="34">
        <v>0</v>
      </c>
      <c r="CR39" s="34">
        <v>0</v>
      </c>
      <c r="CS39" s="34">
        <v>0</v>
      </c>
      <c r="CT39" s="34">
        <v>0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0</v>
      </c>
      <c r="DC39" s="34">
        <v>0</v>
      </c>
      <c r="DD39" s="34">
        <v>1</v>
      </c>
      <c r="DE39" s="34">
        <v>9</v>
      </c>
      <c r="DF39" s="34">
        <v>14</v>
      </c>
      <c r="DG39" s="34">
        <v>1</v>
      </c>
      <c r="DH39" s="34">
        <v>0</v>
      </c>
      <c r="DI39" s="34">
        <v>0</v>
      </c>
      <c r="DJ39" s="34">
        <v>0</v>
      </c>
      <c r="DK39" s="34">
        <v>0</v>
      </c>
      <c r="DL39" s="34">
        <v>0</v>
      </c>
      <c r="DM39" s="34">
        <v>0</v>
      </c>
      <c r="DN39" s="34">
        <v>0</v>
      </c>
      <c r="DO39" s="34">
        <v>0</v>
      </c>
      <c r="DP39" s="34">
        <v>0</v>
      </c>
      <c r="DQ39" s="34">
        <v>0</v>
      </c>
      <c r="DR39" s="34">
        <v>0</v>
      </c>
      <c r="DS39" s="34">
        <v>0</v>
      </c>
      <c r="DT39" s="34">
        <v>0</v>
      </c>
      <c r="DU39" s="34">
        <v>0</v>
      </c>
      <c r="DV39" s="34">
        <v>0</v>
      </c>
      <c r="DW39" s="34">
        <v>0</v>
      </c>
      <c r="DX39" s="34">
        <v>0</v>
      </c>
      <c r="DY39" s="34">
        <v>0</v>
      </c>
      <c r="DZ39" s="34">
        <v>0</v>
      </c>
      <c r="EA39" s="34">
        <v>0</v>
      </c>
      <c r="EB39" s="34">
        <v>0</v>
      </c>
      <c r="EC39" s="34">
        <v>0</v>
      </c>
      <c r="ED39" s="17">
        <f t="shared" si="2"/>
        <v>0</v>
      </c>
      <c r="EE39" s="17">
        <f t="shared" si="9"/>
        <v>0</v>
      </c>
      <c r="EF39" s="16">
        <f t="shared" si="5"/>
        <v>0</v>
      </c>
      <c r="EG39" s="18"/>
      <c r="EH39" s="12">
        <v>0</v>
      </c>
      <c r="EI39" s="80"/>
      <c r="EJ39" s="10" t="s">
        <v>93</v>
      </c>
      <c r="EK39" s="12">
        <v>5</v>
      </c>
      <c r="EL39" s="12">
        <v>1</v>
      </c>
      <c r="EM39" s="12">
        <v>0</v>
      </c>
      <c r="EN39" s="12">
        <v>3</v>
      </c>
      <c r="EO39" s="12">
        <v>1</v>
      </c>
      <c r="EP39" s="12">
        <v>3</v>
      </c>
      <c r="EQ39" s="12">
        <v>0</v>
      </c>
      <c r="ER39" s="12">
        <v>0</v>
      </c>
      <c r="ES39" s="12">
        <v>0</v>
      </c>
      <c r="ET39" s="12">
        <v>0</v>
      </c>
      <c r="EU39" s="12">
        <v>5</v>
      </c>
      <c r="EV39" s="12">
        <v>0</v>
      </c>
      <c r="EW39" s="12">
        <v>1</v>
      </c>
      <c r="EX39" s="12">
        <v>0</v>
      </c>
      <c r="EY39" s="12">
        <v>1</v>
      </c>
      <c r="EZ39" s="12">
        <v>6</v>
      </c>
      <c r="FA39" s="12">
        <v>1</v>
      </c>
      <c r="FB39" s="12">
        <v>1</v>
      </c>
      <c r="FC39" s="35">
        <v>1</v>
      </c>
      <c r="FD39" s="35">
        <v>0</v>
      </c>
      <c r="FE39" s="35">
        <v>0</v>
      </c>
      <c r="FF39" s="35">
        <v>1</v>
      </c>
      <c r="FG39" s="35">
        <v>0</v>
      </c>
      <c r="FH39" s="35">
        <v>6</v>
      </c>
      <c r="FI39" s="35">
        <v>0</v>
      </c>
      <c r="FJ39" s="35">
        <v>0</v>
      </c>
      <c r="FK39" s="35" t="e">
        <f>VLOOKUP(H39,#REF!,2,)</f>
        <v>#REF!</v>
      </c>
      <c r="FL39" s="35">
        <v>3</v>
      </c>
      <c r="FM39" s="16" t="e">
        <f t="shared" si="3"/>
        <v>#REF!</v>
      </c>
      <c r="FN39" s="16" t="e">
        <f t="shared" si="8"/>
        <v>#REF!</v>
      </c>
      <c r="FO39" s="44" t="e">
        <f t="shared" si="4"/>
        <v>#REF!</v>
      </c>
      <c r="FR39" s="74">
        <f t="shared" si="11"/>
        <v>0</v>
      </c>
    </row>
    <row r="40" spans="1:185" s="10" customFormat="1" hidden="1">
      <c r="A40" s="12">
        <v>37</v>
      </c>
      <c r="B40" s="13" t="s">
        <v>22</v>
      </c>
      <c r="C40" s="13" t="s">
        <v>57</v>
      </c>
      <c r="D40" s="14">
        <v>1</v>
      </c>
      <c r="E40" s="14" t="s">
        <v>24</v>
      </c>
      <c r="F40" s="14">
        <v>18</v>
      </c>
      <c r="G40" s="14" t="s">
        <v>25</v>
      </c>
      <c r="H40" s="15">
        <v>692173</v>
      </c>
      <c r="I40" s="15" t="s">
        <v>29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>
        <v>1</v>
      </c>
      <c r="Y40" s="12">
        <v>19</v>
      </c>
      <c r="Z40" s="12">
        <v>2</v>
      </c>
      <c r="AA40" s="12">
        <v>0</v>
      </c>
      <c r="AB40" s="12">
        <v>0</v>
      </c>
      <c r="AC40" s="16">
        <v>0</v>
      </c>
      <c r="AD40" s="16">
        <v>5</v>
      </c>
      <c r="AE40" s="16"/>
      <c r="AF40" s="16">
        <v>9</v>
      </c>
      <c r="AG40" s="16">
        <v>0</v>
      </c>
      <c r="AH40" s="16">
        <v>1</v>
      </c>
      <c r="AI40" s="16">
        <v>10</v>
      </c>
      <c r="AJ40" s="16">
        <v>6</v>
      </c>
      <c r="AK40" s="16">
        <v>6</v>
      </c>
      <c r="AL40" s="16">
        <v>11</v>
      </c>
      <c r="AM40" s="34">
        <v>20</v>
      </c>
      <c r="AN40" s="34">
        <v>7</v>
      </c>
      <c r="AO40" s="34">
        <v>0</v>
      </c>
      <c r="AP40" s="34">
        <v>0</v>
      </c>
      <c r="AQ40" s="34">
        <v>1</v>
      </c>
      <c r="AR40" s="34">
        <v>4</v>
      </c>
      <c r="AS40" s="34">
        <v>9</v>
      </c>
      <c r="AT40" s="34">
        <v>0</v>
      </c>
      <c r="AU40" s="34">
        <v>0</v>
      </c>
      <c r="AV40" s="34">
        <v>2</v>
      </c>
      <c r="AW40" s="34">
        <v>0</v>
      </c>
      <c r="AX40" s="34">
        <v>0</v>
      </c>
      <c r="AY40" s="34">
        <v>0</v>
      </c>
      <c r="AZ40" s="34">
        <v>0</v>
      </c>
      <c r="BA40" s="34">
        <v>1</v>
      </c>
      <c r="BB40" s="34">
        <v>0</v>
      </c>
      <c r="BC40" s="34">
        <v>0</v>
      </c>
      <c r="BD40" s="34">
        <v>0</v>
      </c>
      <c r="BE40" s="34">
        <v>1</v>
      </c>
      <c r="BF40" s="34">
        <v>3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4">
        <v>0</v>
      </c>
      <c r="BO40" s="34">
        <v>0</v>
      </c>
      <c r="BP40" s="34">
        <v>0</v>
      </c>
      <c r="BQ40" s="34">
        <v>0</v>
      </c>
      <c r="BR40" s="34">
        <v>0</v>
      </c>
      <c r="BS40" s="34">
        <v>2</v>
      </c>
      <c r="BT40" s="34">
        <v>0</v>
      </c>
      <c r="BU40" s="34">
        <v>0</v>
      </c>
      <c r="BV40" s="34">
        <v>0</v>
      </c>
      <c r="BW40" s="34">
        <v>0</v>
      </c>
      <c r="BX40" s="34">
        <v>1</v>
      </c>
      <c r="BY40" s="34">
        <v>1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0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</v>
      </c>
      <c r="CO40" s="34">
        <v>0</v>
      </c>
      <c r="CP40" s="34">
        <v>0</v>
      </c>
      <c r="CQ40" s="34">
        <v>2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0</v>
      </c>
      <c r="DE40" s="34">
        <v>0</v>
      </c>
      <c r="DF40" s="34">
        <v>0</v>
      </c>
      <c r="DG40" s="34">
        <v>10</v>
      </c>
      <c r="DH40" s="34">
        <v>4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17">
        <f t="shared" si="2"/>
        <v>0</v>
      </c>
      <c r="EE40" s="17">
        <f t="shared" si="9"/>
        <v>0</v>
      </c>
      <c r="EF40" s="16">
        <f t="shared" si="5"/>
        <v>0</v>
      </c>
      <c r="EG40" s="18"/>
      <c r="EH40" s="12">
        <v>0</v>
      </c>
      <c r="EI40" s="80"/>
      <c r="EJ40" s="10" t="s">
        <v>412</v>
      </c>
      <c r="EK40" s="12">
        <v>0</v>
      </c>
      <c r="EL40" s="12">
        <v>0</v>
      </c>
      <c r="EM40" s="12">
        <v>0</v>
      </c>
      <c r="EN40" s="12">
        <v>0</v>
      </c>
      <c r="EO40" s="12">
        <v>28</v>
      </c>
      <c r="EP40" s="12">
        <v>2</v>
      </c>
      <c r="EQ40" s="12">
        <v>8</v>
      </c>
      <c r="ER40" s="12">
        <v>8</v>
      </c>
      <c r="ES40" s="12">
        <v>0</v>
      </c>
      <c r="ET40" s="12">
        <v>0</v>
      </c>
      <c r="EU40" s="12"/>
      <c r="EV40" s="12">
        <v>15</v>
      </c>
      <c r="EW40" s="12">
        <v>0</v>
      </c>
      <c r="EX40" s="12">
        <v>1</v>
      </c>
      <c r="EY40" s="12">
        <v>0</v>
      </c>
      <c r="EZ40" s="12">
        <v>10</v>
      </c>
      <c r="FA40" s="12">
        <v>6</v>
      </c>
      <c r="FB40" s="12">
        <v>2</v>
      </c>
      <c r="FC40" s="35">
        <v>10</v>
      </c>
      <c r="FD40" s="35">
        <v>2</v>
      </c>
      <c r="FE40" s="35">
        <v>0</v>
      </c>
      <c r="FF40" s="35">
        <v>10</v>
      </c>
      <c r="FG40" s="35">
        <v>0</v>
      </c>
      <c r="FH40" s="35">
        <v>5</v>
      </c>
      <c r="FI40" s="35">
        <v>5</v>
      </c>
      <c r="FJ40" s="35">
        <v>5</v>
      </c>
      <c r="FK40" s="35" t="e">
        <f>VLOOKUP(H40,#REF!,2,)</f>
        <v>#REF!</v>
      </c>
      <c r="FL40" s="35">
        <v>0</v>
      </c>
      <c r="FM40" s="16" t="e">
        <f t="shared" si="3"/>
        <v>#REF!</v>
      </c>
      <c r="FN40" s="16" t="e">
        <f t="shared" si="8"/>
        <v>#REF!</v>
      </c>
      <c r="FO40" s="44" t="e">
        <f t="shared" si="4"/>
        <v>#REF!</v>
      </c>
      <c r="FR40" s="74">
        <f t="shared" si="11"/>
        <v>0</v>
      </c>
    </row>
    <row r="41" spans="1:185" s="10" customFormat="1" hidden="1">
      <c r="A41" s="12">
        <v>38</v>
      </c>
      <c r="B41" s="13" t="s">
        <v>22</v>
      </c>
      <c r="C41" s="13" t="s">
        <v>58</v>
      </c>
      <c r="D41" s="14">
        <v>4</v>
      </c>
      <c r="E41" s="14" t="s">
        <v>24</v>
      </c>
      <c r="F41" s="14">
        <v>5</v>
      </c>
      <c r="G41" s="14" t="s">
        <v>25</v>
      </c>
      <c r="H41" s="15">
        <v>691870</v>
      </c>
      <c r="I41" s="15" t="s">
        <v>26</v>
      </c>
      <c r="J41" s="16">
        <v>214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>
        <v>5</v>
      </c>
      <c r="V41" s="12">
        <v>11</v>
      </c>
      <c r="W41" s="12"/>
      <c r="X41" s="12">
        <v>4</v>
      </c>
      <c r="Y41" s="12">
        <v>4</v>
      </c>
      <c r="Z41" s="12">
        <v>21</v>
      </c>
      <c r="AA41" s="12">
        <v>6</v>
      </c>
      <c r="AB41" s="12">
        <v>7</v>
      </c>
      <c r="AC41" s="16">
        <v>9</v>
      </c>
      <c r="AD41" s="16">
        <v>0</v>
      </c>
      <c r="AE41" s="16">
        <v>3</v>
      </c>
      <c r="AF41" s="16">
        <v>18</v>
      </c>
      <c r="AG41" s="16">
        <v>25</v>
      </c>
      <c r="AH41" s="16">
        <v>14</v>
      </c>
      <c r="AI41" s="16">
        <v>11</v>
      </c>
      <c r="AJ41" s="16">
        <v>17</v>
      </c>
      <c r="AK41" s="16">
        <v>4</v>
      </c>
      <c r="AL41" s="16">
        <v>19</v>
      </c>
      <c r="AM41" s="34">
        <v>155</v>
      </c>
      <c r="AN41" s="34">
        <v>38</v>
      </c>
      <c r="AO41" s="34">
        <v>46</v>
      </c>
      <c r="AP41" s="34">
        <v>12</v>
      </c>
      <c r="AQ41" s="34">
        <v>8</v>
      </c>
      <c r="AR41" s="34">
        <v>4</v>
      </c>
      <c r="AS41" s="34">
        <v>6</v>
      </c>
      <c r="AT41" s="34">
        <v>4</v>
      </c>
      <c r="AU41" s="34">
        <v>4</v>
      </c>
      <c r="AV41" s="34">
        <v>8</v>
      </c>
      <c r="AW41" s="34">
        <v>0</v>
      </c>
      <c r="AX41" s="34">
        <v>2</v>
      </c>
      <c r="AY41" s="34">
        <v>0</v>
      </c>
      <c r="AZ41" s="34">
        <v>0</v>
      </c>
      <c r="BA41" s="34">
        <v>4</v>
      </c>
      <c r="BB41" s="34">
        <v>6</v>
      </c>
      <c r="BC41" s="34">
        <v>49</v>
      </c>
      <c r="BD41" s="34">
        <v>0</v>
      </c>
      <c r="BE41" s="34">
        <v>0</v>
      </c>
      <c r="BF41" s="34">
        <v>2</v>
      </c>
      <c r="BG41" s="34">
        <v>8</v>
      </c>
      <c r="BH41" s="34">
        <v>9</v>
      </c>
      <c r="BI41" s="34">
        <v>1</v>
      </c>
      <c r="BJ41" s="34">
        <v>2</v>
      </c>
      <c r="BK41" s="34">
        <v>10</v>
      </c>
      <c r="BL41" s="34">
        <v>6</v>
      </c>
      <c r="BM41" s="34">
        <v>2</v>
      </c>
      <c r="BN41" s="34">
        <v>8</v>
      </c>
      <c r="BO41" s="34">
        <v>8</v>
      </c>
      <c r="BP41" s="34">
        <v>4</v>
      </c>
      <c r="BQ41" s="34">
        <v>0</v>
      </c>
      <c r="BR41" s="34">
        <v>12</v>
      </c>
      <c r="BS41" s="34">
        <v>4</v>
      </c>
      <c r="BT41" s="34">
        <v>8</v>
      </c>
      <c r="BU41" s="34">
        <v>5</v>
      </c>
      <c r="BV41" s="34">
        <v>4</v>
      </c>
      <c r="BW41" s="34">
        <v>0</v>
      </c>
      <c r="BX41" s="34">
        <v>0</v>
      </c>
      <c r="BY41" s="34">
        <v>0</v>
      </c>
      <c r="BZ41" s="34">
        <v>6</v>
      </c>
      <c r="CA41" s="34">
        <v>0</v>
      </c>
      <c r="CB41" s="34">
        <v>0</v>
      </c>
      <c r="CC41" s="34">
        <v>1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2</v>
      </c>
      <c r="CL41" s="34">
        <v>8</v>
      </c>
      <c r="CM41" s="34">
        <v>0</v>
      </c>
      <c r="CN41" s="34">
        <v>0</v>
      </c>
      <c r="CO41" s="34">
        <v>0</v>
      </c>
      <c r="CP41" s="34">
        <v>0</v>
      </c>
      <c r="CQ41" s="34">
        <v>0</v>
      </c>
      <c r="CR41" s="34">
        <v>0</v>
      </c>
      <c r="CS41" s="34">
        <v>6</v>
      </c>
      <c r="CT41" s="34">
        <v>0</v>
      </c>
      <c r="CU41" s="34">
        <v>0</v>
      </c>
      <c r="CV41" s="34">
        <v>2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11</v>
      </c>
      <c r="DC41" s="34">
        <v>0</v>
      </c>
      <c r="DD41" s="34">
        <v>1</v>
      </c>
      <c r="DE41" s="34">
        <v>9</v>
      </c>
      <c r="DF41" s="34">
        <v>0</v>
      </c>
      <c r="DG41" s="34">
        <v>0</v>
      </c>
      <c r="DH41" s="34">
        <v>0</v>
      </c>
      <c r="DI41" s="34">
        <v>2</v>
      </c>
      <c r="DJ41" s="34">
        <v>0</v>
      </c>
      <c r="DK41" s="34">
        <v>0</v>
      </c>
      <c r="DL41" s="34">
        <v>0</v>
      </c>
      <c r="DM41" s="34">
        <v>3</v>
      </c>
      <c r="DN41" s="34">
        <v>0</v>
      </c>
      <c r="DO41" s="34">
        <v>0</v>
      </c>
      <c r="DP41" s="34">
        <v>0</v>
      </c>
      <c r="DQ41" s="34">
        <v>3</v>
      </c>
      <c r="DR41" s="34">
        <v>3</v>
      </c>
      <c r="DS41" s="34">
        <v>0</v>
      </c>
      <c r="DT41" s="34">
        <v>0</v>
      </c>
      <c r="DU41" s="34">
        <v>8</v>
      </c>
      <c r="DV41" s="34">
        <v>2</v>
      </c>
      <c r="DW41" s="34">
        <v>0</v>
      </c>
      <c r="DX41" s="34">
        <v>0</v>
      </c>
      <c r="DY41" s="34">
        <v>2</v>
      </c>
      <c r="DZ41" s="34">
        <v>0</v>
      </c>
      <c r="EA41" s="34">
        <v>0</v>
      </c>
      <c r="EB41" s="34">
        <v>3</v>
      </c>
      <c r="EC41" s="34">
        <v>0</v>
      </c>
      <c r="ED41" s="17">
        <f t="shared" si="2"/>
        <v>0.75</v>
      </c>
      <c r="EE41" s="17">
        <f t="shared" si="9"/>
        <v>213.25</v>
      </c>
      <c r="EF41" s="16">
        <f t="shared" si="5"/>
        <v>-211.75</v>
      </c>
      <c r="EG41" s="18"/>
      <c r="EH41" s="12">
        <v>0</v>
      </c>
      <c r="EI41" s="80"/>
      <c r="EJ41" s="10" t="s">
        <v>407</v>
      </c>
      <c r="EK41" s="12">
        <v>28</v>
      </c>
      <c r="EL41" s="12">
        <v>3</v>
      </c>
      <c r="EM41" s="12">
        <v>11</v>
      </c>
      <c r="EN41" s="12">
        <v>15</v>
      </c>
      <c r="EO41" s="12">
        <v>66</v>
      </c>
      <c r="EP41" s="12">
        <v>6</v>
      </c>
      <c r="EQ41" s="12">
        <v>28</v>
      </c>
      <c r="ER41" s="12">
        <v>3</v>
      </c>
      <c r="ES41" s="12">
        <v>20</v>
      </c>
      <c r="ET41" s="12">
        <v>12</v>
      </c>
      <c r="EU41" s="12">
        <v>16</v>
      </c>
      <c r="EV41" s="12">
        <v>19</v>
      </c>
      <c r="EW41" s="12">
        <v>16</v>
      </c>
      <c r="EX41" s="12">
        <v>39</v>
      </c>
      <c r="EY41" s="12">
        <v>0</v>
      </c>
      <c r="EZ41" s="12">
        <v>8</v>
      </c>
      <c r="FA41" s="12">
        <v>16</v>
      </c>
      <c r="FB41" s="12">
        <v>28</v>
      </c>
      <c r="FC41" s="35">
        <v>2</v>
      </c>
      <c r="FD41" s="35">
        <v>0</v>
      </c>
      <c r="FE41" s="35">
        <v>8</v>
      </c>
      <c r="FF41" s="35">
        <v>13</v>
      </c>
      <c r="FG41" s="35">
        <v>8</v>
      </c>
      <c r="FH41" s="35">
        <v>3</v>
      </c>
      <c r="FI41" s="35">
        <v>10</v>
      </c>
      <c r="FJ41" s="35">
        <v>0</v>
      </c>
      <c r="FK41" s="35" t="e">
        <f>VLOOKUP(H41,#REF!,2,)</f>
        <v>#REF!</v>
      </c>
      <c r="FL41" s="35">
        <v>0</v>
      </c>
      <c r="FM41" s="16" t="e">
        <f t="shared" si="3"/>
        <v>#REF!</v>
      </c>
      <c r="FN41" s="16" t="e">
        <f t="shared" si="8"/>
        <v>#REF!</v>
      </c>
      <c r="FO41" s="44" t="e">
        <f t="shared" si="4"/>
        <v>#REF!</v>
      </c>
      <c r="FR41" s="74">
        <f t="shared" si="11"/>
        <v>0</v>
      </c>
    </row>
    <row r="42" spans="1:185" s="10" customFormat="1" hidden="1">
      <c r="A42" s="12">
        <v>39</v>
      </c>
      <c r="B42" s="13" t="s">
        <v>22</v>
      </c>
      <c r="C42" s="13" t="s">
        <v>58</v>
      </c>
      <c r="D42" s="14">
        <v>6</v>
      </c>
      <c r="E42" s="14" t="s">
        <v>24</v>
      </c>
      <c r="F42" s="14">
        <v>1</v>
      </c>
      <c r="G42" s="14" t="s">
        <v>25</v>
      </c>
      <c r="H42" s="15">
        <v>692051</v>
      </c>
      <c r="I42" s="15" t="s">
        <v>26</v>
      </c>
      <c r="J42" s="16">
        <v>237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3</v>
      </c>
      <c r="V42" s="12">
        <v>13</v>
      </c>
      <c r="W42" s="12">
        <v>4</v>
      </c>
      <c r="X42" s="12">
        <v>9</v>
      </c>
      <c r="Y42" s="12">
        <v>9</v>
      </c>
      <c r="Z42" s="12">
        <v>39</v>
      </c>
      <c r="AA42" s="12">
        <v>6</v>
      </c>
      <c r="AB42" s="12">
        <v>7</v>
      </c>
      <c r="AC42" s="16">
        <v>0</v>
      </c>
      <c r="AD42" s="16">
        <v>1</v>
      </c>
      <c r="AE42" s="16">
        <v>3</v>
      </c>
      <c r="AF42" s="16">
        <v>10</v>
      </c>
      <c r="AG42" s="16">
        <v>38</v>
      </c>
      <c r="AH42" s="16">
        <v>8</v>
      </c>
      <c r="AI42" s="16">
        <v>11</v>
      </c>
      <c r="AJ42" s="16">
        <v>5</v>
      </c>
      <c r="AK42" s="16">
        <v>10</v>
      </c>
      <c r="AL42" s="16">
        <v>15</v>
      </c>
      <c r="AM42" s="34">
        <v>29</v>
      </c>
      <c r="AN42" s="34">
        <v>19</v>
      </c>
      <c r="AO42" s="34">
        <v>44</v>
      </c>
      <c r="AP42" s="34">
        <v>19</v>
      </c>
      <c r="AQ42" s="34">
        <v>0</v>
      </c>
      <c r="AR42" s="34">
        <v>1</v>
      </c>
      <c r="AS42" s="34">
        <v>0</v>
      </c>
      <c r="AT42" s="34">
        <v>1</v>
      </c>
      <c r="AU42" s="34">
        <v>0</v>
      </c>
      <c r="AV42" s="34">
        <v>9</v>
      </c>
      <c r="AW42" s="34">
        <v>6</v>
      </c>
      <c r="AX42" s="34">
        <v>3</v>
      </c>
      <c r="AY42" s="34">
        <v>0</v>
      </c>
      <c r="AZ42" s="34">
        <v>6</v>
      </c>
      <c r="BA42" s="34">
        <v>0</v>
      </c>
      <c r="BB42" s="34">
        <v>1</v>
      </c>
      <c r="BC42" s="34">
        <v>13</v>
      </c>
      <c r="BD42" s="34">
        <v>10</v>
      </c>
      <c r="BE42" s="34">
        <v>0</v>
      </c>
      <c r="BF42" s="34">
        <v>0</v>
      </c>
      <c r="BG42" s="34">
        <v>0</v>
      </c>
      <c r="BH42" s="34">
        <v>6</v>
      </c>
      <c r="BI42" s="34">
        <v>0</v>
      </c>
      <c r="BJ42" s="34">
        <v>0</v>
      </c>
      <c r="BK42" s="34">
        <v>0</v>
      </c>
      <c r="BL42" s="34">
        <v>0</v>
      </c>
      <c r="BM42" s="34">
        <v>2</v>
      </c>
      <c r="BN42" s="34">
        <v>0</v>
      </c>
      <c r="BO42" s="34">
        <v>6</v>
      </c>
      <c r="BP42" s="34">
        <v>0</v>
      </c>
      <c r="BQ42" s="34">
        <v>0</v>
      </c>
      <c r="BR42" s="34">
        <v>18</v>
      </c>
      <c r="BS42" s="34">
        <v>0</v>
      </c>
      <c r="BT42" s="34">
        <v>0</v>
      </c>
      <c r="BU42" s="34">
        <v>0</v>
      </c>
      <c r="BV42" s="34">
        <v>0</v>
      </c>
      <c r="BW42" s="34">
        <v>0</v>
      </c>
      <c r="BX42" s="34">
        <v>0</v>
      </c>
      <c r="BY42" s="34">
        <v>1</v>
      </c>
      <c r="BZ42" s="34">
        <v>0</v>
      </c>
      <c r="CA42" s="34">
        <v>0</v>
      </c>
      <c r="CB42" s="34">
        <v>0</v>
      </c>
      <c r="CC42" s="34">
        <v>32</v>
      </c>
      <c r="CD42" s="34">
        <v>0</v>
      </c>
      <c r="CE42" s="34">
        <v>2</v>
      </c>
      <c r="CF42" s="34">
        <v>0</v>
      </c>
      <c r="CG42" s="34">
        <v>0</v>
      </c>
      <c r="CH42" s="34">
        <v>0</v>
      </c>
      <c r="CI42" s="34">
        <v>30</v>
      </c>
      <c r="CJ42" s="34">
        <v>0</v>
      </c>
      <c r="CK42" s="34">
        <v>20</v>
      </c>
      <c r="CL42" s="34">
        <v>12</v>
      </c>
      <c r="CM42" s="34">
        <v>20</v>
      </c>
      <c r="CN42" s="34">
        <v>0</v>
      </c>
      <c r="CO42" s="34">
        <v>26</v>
      </c>
      <c r="CP42" s="34">
        <v>0</v>
      </c>
      <c r="CQ42" s="34">
        <v>30</v>
      </c>
      <c r="CR42" s="34">
        <v>0</v>
      </c>
      <c r="CS42" s="34">
        <v>0</v>
      </c>
      <c r="CT42" s="34">
        <v>0</v>
      </c>
      <c r="CU42" s="34">
        <v>0</v>
      </c>
      <c r="CV42" s="34">
        <v>0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6</v>
      </c>
      <c r="DC42" s="34">
        <v>0</v>
      </c>
      <c r="DD42" s="34">
        <v>2</v>
      </c>
      <c r="DE42" s="34">
        <v>1</v>
      </c>
      <c r="DF42" s="34">
        <v>1</v>
      </c>
      <c r="DG42" s="34">
        <v>1</v>
      </c>
      <c r="DH42" s="34">
        <v>0</v>
      </c>
      <c r="DI42" s="34">
        <v>0</v>
      </c>
      <c r="DJ42" s="34">
        <v>9</v>
      </c>
      <c r="DK42" s="34">
        <v>0</v>
      </c>
      <c r="DL42" s="34">
        <v>0</v>
      </c>
      <c r="DM42" s="34">
        <v>0</v>
      </c>
      <c r="DN42" s="34">
        <v>0</v>
      </c>
      <c r="DO42" s="34">
        <v>0</v>
      </c>
      <c r="DP42" s="34">
        <v>0</v>
      </c>
      <c r="DQ42" s="34">
        <v>3</v>
      </c>
      <c r="DR42" s="34">
        <v>0</v>
      </c>
      <c r="DS42" s="34">
        <v>0</v>
      </c>
      <c r="DT42" s="34">
        <v>0</v>
      </c>
      <c r="DU42" s="34">
        <v>14</v>
      </c>
      <c r="DV42" s="34">
        <v>0</v>
      </c>
      <c r="DW42" s="34">
        <v>0</v>
      </c>
      <c r="DX42" s="34">
        <v>0</v>
      </c>
      <c r="DY42" s="34">
        <v>0</v>
      </c>
      <c r="DZ42" s="34">
        <v>0</v>
      </c>
      <c r="EA42" s="34">
        <v>0</v>
      </c>
      <c r="EB42" s="34">
        <v>1</v>
      </c>
      <c r="EC42" s="34">
        <v>0</v>
      </c>
      <c r="ED42" s="17">
        <f t="shared" si="2"/>
        <v>0.25</v>
      </c>
      <c r="EE42" s="17">
        <f t="shared" si="9"/>
        <v>236.75</v>
      </c>
      <c r="EF42" s="16">
        <f t="shared" si="5"/>
        <v>-236.25</v>
      </c>
      <c r="EG42" s="18"/>
      <c r="EH42" s="12">
        <v>0</v>
      </c>
      <c r="EI42" s="80"/>
      <c r="EJ42" s="10" t="s">
        <v>419</v>
      </c>
      <c r="EK42" s="12">
        <v>22</v>
      </c>
      <c r="EL42" s="12">
        <v>0</v>
      </c>
      <c r="EM42" s="12">
        <v>13</v>
      </c>
      <c r="EN42" s="12">
        <v>15</v>
      </c>
      <c r="EO42" s="12">
        <v>66</v>
      </c>
      <c r="EP42" s="12">
        <v>18</v>
      </c>
      <c r="EQ42" s="12">
        <v>48</v>
      </c>
      <c r="ER42" s="12">
        <v>12</v>
      </c>
      <c r="ES42" s="12">
        <v>18</v>
      </c>
      <c r="ET42" s="12">
        <v>0</v>
      </c>
      <c r="EU42" s="12">
        <v>28</v>
      </c>
      <c r="EV42" s="12">
        <v>30</v>
      </c>
      <c r="EW42" s="12">
        <v>16</v>
      </c>
      <c r="EX42" s="12">
        <v>15</v>
      </c>
      <c r="EY42" s="12">
        <v>0</v>
      </c>
      <c r="EZ42" s="12">
        <v>18</v>
      </c>
      <c r="FA42" s="12">
        <v>36</v>
      </c>
      <c r="FB42" s="12">
        <v>12</v>
      </c>
      <c r="FC42" s="35">
        <v>20</v>
      </c>
      <c r="FD42" s="35">
        <v>0</v>
      </c>
      <c r="FE42" s="35">
        <v>0</v>
      </c>
      <c r="FF42" s="35">
        <v>6</v>
      </c>
      <c r="FG42" s="35">
        <v>0</v>
      </c>
      <c r="FH42" s="35">
        <v>1</v>
      </c>
      <c r="FI42" s="35">
        <v>0</v>
      </c>
      <c r="FJ42" s="35">
        <v>0</v>
      </c>
      <c r="FK42" s="35" t="e">
        <f>VLOOKUP(H42,#REF!,2,)</f>
        <v>#REF!</v>
      </c>
      <c r="FL42" s="35">
        <v>0</v>
      </c>
      <c r="FM42" s="16" t="e">
        <f t="shared" si="3"/>
        <v>#REF!</v>
      </c>
      <c r="FN42" s="16" t="e">
        <f t="shared" si="8"/>
        <v>#REF!</v>
      </c>
      <c r="FO42" s="44" t="e">
        <f t="shared" si="4"/>
        <v>#REF!</v>
      </c>
      <c r="FR42" s="74">
        <f t="shared" si="11"/>
        <v>0</v>
      </c>
    </row>
    <row r="43" spans="1:185" s="10" customFormat="1" hidden="1">
      <c r="A43" s="12">
        <v>40</v>
      </c>
      <c r="B43" s="13" t="s">
        <v>22</v>
      </c>
      <c r="C43" s="13" t="s">
        <v>59</v>
      </c>
      <c r="D43" s="14">
        <v>1</v>
      </c>
      <c r="E43" s="14" t="s">
        <v>24</v>
      </c>
      <c r="F43" s="14">
        <v>18</v>
      </c>
      <c r="G43" s="14" t="s">
        <v>25</v>
      </c>
      <c r="H43" s="15">
        <v>804723</v>
      </c>
      <c r="I43" s="15" t="s">
        <v>29</v>
      </c>
      <c r="J43" s="16">
        <v>-7.5772721430666934E-15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9</v>
      </c>
      <c r="V43" s="12">
        <v>19</v>
      </c>
      <c r="W43" s="12">
        <v>2</v>
      </c>
      <c r="X43" s="12">
        <v>26</v>
      </c>
      <c r="Y43" s="12">
        <v>20</v>
      </c>
      <c r="Z43" s="12">
        <v>23</v>
      </c>
      <c r="AA43" s="12">
        <v>14</v>
      </c>
      <c r="AB43" s="12">
        <v>14</v>
      </c>
      <c r="AC43" s="16">
        <v>20</v>
      </c>
      <c r="AD43" s="16">
        <v>3</v>
      </c>
      <c r="AE43" s="16">
        <v>12</v>
      </c>
      <c r="AF43" s="16">
        <v>18</v>
      </c>
      <c r="AG43" s="16">
        <v>5</v>
      </c>
      <c r="AH43" s="16">
        <v>3</v>
      </c>
      <c r="AI43" s="16">
        <v>0</v>
      </c>
      <c r="AJ43" s="16">
        <v>0</v>
      </c>
      <c r="AK43" s="16">
        <v>6</v>
      </c>
      <c r="AL43" s="16">
        <v>3</v>
      </c>
      <c r="AM43" s="34">
        <v>7</v>
      </c>
      <c r="AN43" s="34">
        <v>1</v>
      </c>
      <c r="AO43" s="34">
        <v>16</v>
      </c>
      <c r="AP43" s="34">
        <v>2</v>
      </c>
      <c r="AQ43" s="34">
        <v>1</v>
      </c>
      <c r="AR43" s="34">
        <v>0</v>
      </c>
      <c r="AS43" s="34">
        <v>6</v>
      </c>
      <c r="AT43" s="34">
        <v>0</v>
      </c>
      <c r="AU43" s="34">
        <v>1.3888888888888888</v>
      </c>
      <c r="AV43" s="34">
        <v>11</v>
      </c>
      <c r="AW43" s="34">
        <v>9</v>
      </c>
      <c r="AX43" s="34">
        <v>4</v>
      </c>
      <c r="AY43" s="34">
        <v>6</v>
      </c>
      <c r="AZ43" s="34">
        <v>3</v>
      </c>
      <c r="BA43" s="34">
        <v>3</v>
      </c>
      <c r="BB43" s="34">
        <v>12</v>
      </c>
      <c r="BC43" s="34">
        <v>12</v>
      </c>
      <c r="BD43" s="34">
        <v>1</v>
      </c>
      <c r="BE43" s="34">
        <v>6</v>
      </c>
      <c r="BF43" s="34">
        <v>8</v>
      </c>
      <c r="BG43" s="34">
        <v>4</v>
      </c>
      <c r="BH43" s="34">
        <v>11</v>
      </c>
      <c r="BI43" s="34">
        <v>37</v>
      </c>
      <c r="BJ43" s="34">
        <v>12</v>
      </c>
      <c r="BK43" s="34">
        <v>0</v>
      </c>
      <c r="BL43" s="34">
        <v>0</v>
      </c>
      <c r="BM43" s="34">
        <v>2</v>
      </c>
      <c r="BN43" s="34">
        <v>4</v>
      </c>
      <c r="BO43" s="34">
        <v>0</v>
      </c>
      <c r="BP43" s="34">
        <v>2</v>
      </c>
      <c r="BQ43" s="34">
        <v>2</v>
      </c>
      <c r="BR43" s="34">
        <v>0</v>
      </c>
      <c r="BS43" s="34">
        <v>2</v>
      </c>
      <c r="BT43" s="34">
        <v>0</v>
      </c>
      <c r="BU43" s="34">
        <v>6.3888888888888893</v>
      </c>
      <c r="BV43" s="34">
        <v>2</v>
      </c>
      <c r="BW43" s="34">
        <v>0</v>
      </c>
      <c r="BX43" s="34">
        <v>0</v>
      </c>
      <c r="BY43" s="34">
        <v>0</v>
      </c>
      <c r="BZ43" s="34">
        <v>2</v>
      </c>
      <c r="CA43" s="34">
        <v>1</v>
      </c>
      <c r="CB43" s="34">
        <v>3</v>
      </c>
      <c r="CC43" s="34">
        <v>0</v>
      </c>
      <c r="CD43" s="34">
        <v>3</v>
      </c>
      <c r="CE43" s="34">
        <v>2</v>
      </c>
      <c r="CF43" s="34">
        <v>3</v>
      </c>
      <c r="CG43" s="34">
        <v>0</v>
      </c>
      <c r="CH43" s="34">
        <v>0</v>
      </c>
      <c r="CI43" s="34">
        <v>0</v>
      </c>
      <c r="CJ43" s="34">
        <v>0</v>
      </c>
      <c r="CK43" s="34">
        <v>0</v>
      </c>
      <c r="CL43" s="34">
        <v>2</v>
      </c>
      <c r="CM43" s="34">
        <v>3</v>
      </c>
      <c r="CN43" s="34">
        <v>3</v>
      </c>
      <c r="CO43" s="34">
        <v>0</v>
      </c>
      <c r="CP43" s="34">
        <v>0</v>
      </c>
      <c r="CQ43" s="34">
        <v>0</v>
      </c>
      <c r="CR43" s="34">
        <v>0</v>
      </c>
      <c r="CS43" s="34">
        <v>0</v>
      </c>
      <c r="CT43" s="34">
        <v>0</v>
      </c>
      <c r="CU43" s="34">
        <v>1</v>
      </c>
      <c r="CV43" s="34">
        <v>1</v>
      </c>
      <c r="CW43" s="34">
        <v>12</v>
      </c>
      <c r="CX43" s="34">
        <v>1</v>
      </c>
      <c r="CY43" s="34">
        <v>1</v>
      </c>
      <c r="CZ43" s="34">
        <v>4</v>
      </c>
      <c r="DA43" s="34">
        <v>0</v>
      </c>
      <c r="DB43" s="34">
        <v>12</v>
      </c>
      <c r="DC43" s="34">
        <v>9</v>
      </c>
      <c r="DD43" s="34">
        <v>36</v>
      </c>
      <c r="DE43" s="34">
        <v>35</v>
      </c>
      <c r="DF43" s="34">
        <v>50</v>
      </c>
      <c r="DG43" s="34">
        <v>396</v>
      </c>
      <c r="DH43" s="34">
        <v>46</v>
      </c>
      <c r="DI43" s="34">
        <v>0</v>
      </c>
      <c r="DJ43" s="34">
        <v>10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0</v>
      </c>
      <c r="DR43" s="34">
        <v>0</v>
      </c>
      <c r="DS43" s="34">
        <v>0</v>
      </c>
      <c r="DT43" s="34">
        <v>0.13333333333333333</v>
      </c>
      <c r="DU43" s="34">
        <v>0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0</v>
      </c>
      <c r="EC43" s="34">
        <v>0</v>
      </c>
      <c r="ED43" s="17">
        <f t="shared" si="2"/>
        <v>0</v>
      </c>
      <c r="EE43" s="17">
        <f t="shared" si="9"/>
        <v>-7.5772721430666934E-15</v>
      </c>
      <c r="EF43" s="16">
        <f t="shared" si="5"/>
        <v>7.5772721430666934E-15</v>
      </c>
      <c r="EG43" s="18"/>
      <c r="EH43" s="12">
        <v>0</v>
      </c>
      <c r="EI43" s="80"/>
      <c r="EJ43" s="10" t="s">
        <v>422</v>
      </c>
      <c r="EK43" s="12">
        <v>9</v>
      </c>
      <c r="EL43" s="12">
        <v>35</v>
      </c>
      <c r="EM43" s="12">
        <v>12</v>
      </c>
      <c r="EN43" s="12">
        <v>28</v>
      </c>
      <c r="EO43" s="12">
        <v>30</v>
      </c>
      <c r="EP43" s="12">
        <v>35.5</v>
      </c>
      <c r="EQ43" s="12">
        <v>14</v>
      </c>
      <c r="ER43" s="12">
        <v>47</v>
      </c>
      <c r="ES43" s="12">
        <v>20</v>
      </c>
      <c r="ET43" s="12">
        <v>8</v>
      </c>
      <c r="EU43" s="12">
        <v>12</v>
      </c>
      <c r="EV43" s="12">
        <v>18</v>
      </c>
      <c r="EW43" s="12">
        <v>10</v>
      </c>
      <c r="EX43" s="12">
        <v>3</v>
      </c>
      <c r="EY43" s="12">
        <v>0</v>
      </c>
      <c r="EZ43" s="12">
        <v>0</v>
      </c>
      <c r="FA43" s="12">
        <v>6</v>
      </c>
      <c r="FB43" s="12">
        <v>2.2000000000000002</v>
      </c>
      <c r="FC43" s="35">
        <v>7</v>
      </c>
      <c r="FD43" s="35">
        <v>1</v>
      </c>
      <c r="FE43" s="35">
        <v>4</v>
      </c>
      <c r="FF43" s="35">
        <v>1.3888888888888888</v>
      </c>
      <c r="FG43" s="35">
        <v>1</v>
      </c>
      <c r="FH43" s="35">
        <v>0</v>
      </c>
      <c r="FI43" s="35">
        <v>6</v>
      </c>
      <c r="FJ43" s="35">
        <v>0</v>
      </c>
      <c r="FK43" s="35" t="e">
        <f>VLOOKUP(H43,#REF!,2,)</f>
        <v>#REF!</v>
      </c>
      <c r="FL43" s="35">
        <v>11</v>
      </c>
      <c r="FM43" s="16" t="e">
        <f t="shared" si="3"/>
        <v>#REF!</v>
      </c>
      <c r="FN43" s="16" t="e">
        <f t="shared" si="8"/>
        <v>#REF!</v>
      </c>
      <c r="FO43" s="44" t="e">
        <f t="shared" si="4"/>
        <v>#REF!</v>
      </c>
      <c r="FR43" s="74">
        <f t="shared" si="11"/>
        <v>0</v>
      </c>
    </row>
    <row r="44" spans="1:185" s="10" customFormat="1" hidden="1">
      <c r="A44" s="12">
        <v>41</v>
      </c>
      <c r="B44" s="13" t="s">
        <v>22</v>
      </c>
      <c r="C44" s="13" t="s">
        <v>39</v>
      </c>
      <c r="D44" s="14">
        <v>1</v>
      </c>
      <c r="E44" s="14" t="s">
        <v>24</v>
      </c>
      <c r="F44" s="14">
        <v>200</v>
      </c>
      <c r="G44" s="14" t="s">
        <v>25</v>
      </c>
      <c r="H44" s="15">
        <v>692077</v>
      </c>
      <c r="I44" s="15" t="s">
        <v>28</v>
      </c>
      <c r="J44" s="16">
        <v>4.88</v>
      </c>
      <c r="K44" s="12"/>
      <c r="L44" s="12"/>
      <c r="M44" s="12">
        <f>12</f>
        <v>12</v>
      </c>
      <c r="N44" s="12"/>
      <c r="O44" s="12"/>
      <c r="P44" s="12"/>
      <c r="Q44" s="12"/>
      <c r="R44" s="12"/>
      <c r="S44" s="12"/>
      <c r="T44" s="12"/>
      <c r="U44" s="12">
        <v>3.44</v>
      </c>
      <c r="V44" s="12">
        <v>3</v>
      </c>
      <c r="W44" s="12">
        <v>2</v>
      </c>
      <c r="X44" s="12">
        <v>1</v>
      </c>
      <c r="Y44" s="12">
        <v>3</v>
      </c>
      <c r="Z44" s="12">
        <v>6</v>
      </c>
      <c r="AA44" s="12">
        <v>2</v>
      </c>
      <c r="AB44" s="12">
        <v>2</v>
      </c>
      <c r="AC44" s="16">
        <v>2.1</v>
      </c>
      <c r="AD44" s="16">
        <v>0</v>
      </c>
      <c r="AE44" s="16">
        <v>3.1</v>
      </c>
      <c r="AF44" s="16">
        <v>1</v>
      </c>
      <c r="AG44" s="16">
        <v>5.0999999999999996</v>
      </c>
      <c r="AH44" s="16">
        <v>3.12</v>
      </c>
      <c r="AI44" s="16">
        <v>1</v>
      </c>
      <c r="AJ44" s="16">
        <v>2</v>
      </c>
      <c r="AK44" s="16">
        <v>0.1</v>
      </c>
      <c r="AL44" s="16">
        <v>2</v>
      </c>
      <c r="AM44" s="34">
        <v>3</v>
      </c>
      <c r="AN44" s="34">
        <v>0</v>
      </c>
      <c r="AO44" s="34">
        <v>2.1</v>
      </c>
      <c r="AP44" s="34">
        <v>0.14000000000000001</v>
      </c>
      <c r="AQ44" s="34">
        <v>0.2</v>
      </c>
      <c r="AR44" s="34">
        <v>1.1000000000000001</v>
      </c>
      <c r="AS44" s="34">
        <v>3</v>
      </c>
      <c r="AT44" s="34">
        <v>1</v>
      </c>
      <c r="AU44" s="34">
        <v>0.26</v>
      </c>
      <c r="AV44" s="34">
        <v>4</v>
      </c>
      <c r="AW44" s="34">
        <v>2.4000000000000004</v>
      </c>
      <c r="AX44" s="34">
        <v>5.0999999999999996</v>
      </c>
      <c r="AY44" s="34">
        <v>4.0999999999999996</v>
      </c>
      <c r="AZ44" s="34">
        <v>6.0600000000000005</v>
      </c>
      <c r="BA44" s="34">
        <v>6</v>
      </c>
      <c r="BB44" s="34">
        <v>3.1</v>
      </c>
      <c r="BC44" s="34">
        <v>1.1000000000000001</v>
      </c>
      <c r="BD44" s="34">
        <v>9.6153846153846159E-2</v>
      </c>
      <c r="BE44" s="34">
        <v>1</v>
      </c>
      <c r="BF44" s="34">
        <v>2.14</v>
      </c>
      <c r="BG44" s="34">
        <v>3</v>
      </c>
      <c r="BH44" s="34">
        <v>1</v>
      </c>
      <c r="BI44" s="34">
        <v>3.02</v>
      </c>
      <c r="BJ44" s="34">
        <v>3.14</v>
      </c>
      <c r="BK44" s="34">
        <v>0</v>
      </c>
      <c r="BL44" s="34">
        <v>2.14</v>
      </c>
      <c r="BM44" s="34">
        <v>5</v>
      </c>
      <c r="BN44" s="34">
        <v>3</v>
      </c>
      <c r="BO44" s="34">
        <v>0</v>
      </c>
      <c r="BP44" s="34">
        <v>0</v>
      </c>
      <c r="BQ44" s="34">
        <v>2</v>
      </c>
      <c r="BR44" s="34">
        <v>1</v>
      </c>
      <c r="BS44" s="34">
        <v>5</v>
      </c>
      <c r="BT44" s="34">
        <v>4</v>
      </c>
      <c r="BU44" s="34">
        <v>8</v>
      </c>
      <c r="BV44" s="34">
        <v>1</v>
      </c>
      <c r="BW44" s="34">
        <v>0</v>
      </c>
      <c r="BX44" s="34">
        <v>2</v>
      </c>
      <c r="BY44" s="34">
        <v>6</v>
      </c>
      <c r="BZ44" s="34">
        <v>2</v>
      </c>
      <c r="CA44" s="34">
        <v>7</v>
      </c>
      <c r="CB44" s="34">
        <v>7</v>
      </c>
      <c r="CC44" s="34">
        <v>0</v>
      </c>
      <c r="CD44" s="34">
        <v>12.135</v>
      </c>
      <c r="CE44" s="34">
        <v>2.04</v>
      </c>
      <c r="CF44" s="34">
        <v>1</v>
      </c>
      <c r="CG44" s="34">
        <v>0</v>
      </c>
      <c r="CH44" s="34">
        <v>2</v>
      </c>
      <c r="CI44" s="34">
        <v>0</v>
      </c>
      <c r="CJ44" s="34">
        <v>0</v>
      </c>
      <c r="CK44" s="34">
        <v>2</v>
      </c>
      <c r="CL44" s="34">
        <v>0.21000000000000002</v>
      </c>
      <c r="CM44" s="34">
        <v>2.02</v>
      </c>
      <c r="CN44" s="34">
        <v>3.11</v>
      </c>
      <c r="CO44" s="34">
        <v>3.01</v>
      </c>
      <c r="CP44" s="34">
        <v>5</v>
      </c>
      <c r="CQ44" s="34">
        <v>1</v>
      </c>
      <c r="CR44" s="34">
        <v>2</v>
      </c>
      <c r="CS44" s="34">
        <v>1</v>
      </c>
      <c r="CT44" s="34">
        <v>0</v>
      </c>
      <c r="CU44" s="34">
        <v>0</v>
      </c>
      <c r="CV44" s="34">
        <v>0</v>
      </c>
      <c r="CW44" s="34">
        <v>1.4</v>
      </c>
      <c r="CX44" s="34">
        <v>0</v>
      </c>
      <c r="CY44" s="34">
        <v>2</v>
      </c>
      <c r="CZ44" s="34">
        <v>1</v>
      </c>
      <c r="DA44" s="34">
        <v>2.1</v>
      </c>
      <c r="DB44" s="34">
        <v>2</v>
      </c>
      <c r="DC44" s="34">
        <v>0</v>
      </c>
      <c r="DD44" s="34">
        <v>1</v>
      </c>
      <c r="DE44" s="34">
        <v>0</v>
      </c>
      <c r="DF44" s="34">
        <v>1</v>
      </c>
      <c r="DG44" s="34">
        <v>2</v>
      </c>
      <c r="DH44" s="34">
        <v>1</v>
      </c>
      <c r="DI44" s="34">
        <v>0</v>
      </c>
      <c r="DJ44" s="34">
        <v>0</v>
      </c>
      <c r="DK44" s="34">
        <v>0</v>
      </c>
      <c r="DL44" s="34">
        <v>0</v>
      </c>
      <c r="DM44" s="34">
        <v>1</v>
      </c>
      <c r="DN44" s="34">
        <v>0</v>
      </c>
      <c r="DO44" s="34">
        <v>0</v>
      </c>
      <c r="DP44" s="34">
        <v>1</v>
      </c>
      <c r="DQ44" s="34">
        <v>0</v>
      </c>
      <c r="DR44" s="34">
        <v>0</v>
      </c>
      <c r="DS44" s="34">
        <v>0</v>
      </c>
      <c r="DT44" s="34">
        <v>2</v>
      </c>
      <c r="DU44" s="34">
        <v>0</v>
      </c>
      <c r="DV44" s="34">
        <v>2</v>
      </c>
      <c r="DW44" s="34">
        <v>0</v>
      </c>
      <c r="DX44" s="34">
        <v>1</v>
      </c>
      <c r="DY44" s="34">
        <v>0</v>
      </c>
      <c r="DZ44" s="34">
        <v>0</v>
      </c>
      <c r="EA44" s="34">
        <v>0</v>
      </c>
      <c r="EB44" s="34">
        <v>0</v>
      </c>
      <c r="EC44" s="34">
        <v>2</v>
      </c>
      <c r="ED44" s="17">
        <f t="shared" si="2"/>
        <v>0.5</v>
      </c>
      <c r="EE44" s="17">
        <f t="shared" si="9"/>
        <v>16.38</v>
      </c>
      <c r="EF44" s="16">
        <f t="shared" ref="EF44:EF45" si="12">(ED44*3)-EE44</f>
        <v>-14.879999999999999</v>
      </c>
      <c r="EG44" s="18"/>
      <c r="EH44" s="12">
        <v>0</v>
      </c>
      <c r="EI44" s="80">
        <f>EH44*200</f>
        <v>0</v>
      </c>
      <c r="EJ44" s="10" t="s">
        <v>423</v>
      </c>
      <c r="EK44" s="12">
        <v>2</v>
      </c>
      <c r="EL44" s="12">
        <v>3</v>
      </c>
      <c r="EM44" s="12">
        <v>1</v>
      </c>
      <c r="EN44" s="12">
        <v>0</v>
      </c>
      <c r="EO44" s="12">
        <v>6</v>
      </c>
      <c r="EP44" s="12">
        <v>0</v>
      </c>
      <c r="EQ44" s="12">
        <v>1</v>
      </c>
      <c r="ER44" s="12">
        <v>2</v>
      </c>
      <c r="ES44" s="12">
        <v>3</v>
      </c>
      <c r="ET44" s="12">
        <v>0</v>
      </c>
      <c r="EU44" s="12">
        <v>2</v>
      </c>
      <c r="EV44" s="12">
        <v>1</v>
      </c>
      <c r="EW44" s="12">
        <v>6</v>
      </c>
      <c r="EX44" s="12">
        <v>2</v>
      </c>
      <c r="EY44" s="12">
        <v>1</v>
      </c>
      <c r="EZ44" s="12">
        <v>2</v>
      </c>
      <c r="FA44" s="12">
        <v>0</v>
      </c>
      <c r="FB44" s="12">
        <v>3</v>
      </c>
      <c r="FC44" s="35">
        <v>3</v>
      </c>
      <c r="FD44" s="35">
        <v>1</v>
      </c>
      <c r="FE44" s="35">
        <v>1</v>
      </c>
      <c r="FF44" s="35">
        <v>0</v>
      </c>
      <c r="FG44" s="35">
        <v>0</v>
      </c>
      <c r="FH44" s="35">
        <v>3</v>
      </c>
      <c r="FI44" s="35">
        <v>0</v>
      </c>
      <c r="FJ44" s="35">
        <v>1</v>
      </c>
      <c r="FK44" s="35" t="e">
        <f>VLOOKUP(H44,#REF!,2,)</f>
        <v>#REF!</v>
      </c>
      <c r="FL44" s="35">
        <v>2</v>
      </c>
      <c r="FM44" s="16" t="e">
        <f t="shared" si="3"/>
        <v>#REF!</v>
      </c>
      <c r="FN44" s="16" t="e">
        <f t="shared" si="8"/>
        <v>#REF!</v>
      </c>
      <c r="FO44" s="44" t="e">
        <f t="shared" si="4"/>
        <v>#REF!</v>
      </c>
      <c r="FR44" s="74">
        <f t="shared" si="11"/>
        <v>0</v>
      </c>
    </row>
    <row r="45" spans="1:185" s="10" customFormat="1" hidden="1">
      <c r="A45" s="12">
        <v>42</v>
      </c>
      <c r="B45" s="13" t="s">
        <v>22</v>
      </c>
      <c r="C45" s="13" t="s">
        <v>60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692030</v>
      </c>
      <c r="I45" s="15" t="s">
        <v>28</v>
      </c>
      <c r="J45" s="16">
        <v>0.28000000000000114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5</v>
      </c>
      <c r="V45" s="12">
        <v>1</v>
      </c>
      <c r="W45" s="12">
        <v>1</v>
      </c>
      <c r="X45" s="12">
        <v>2</v>
      </c>
      <c r="Y45" s="12">
        <v>3</v>
      </c>
      <c r="Z45" s="12">
        <v>2</v>
      </c>
      <c r="AA45" s="12">
        <v>0</v>
      </c>
      <c r="AB45" s="12">
        <v>0</v>
      </c>
      <c r="AC45" s="16">
        <v>1</v>
      </c>
      <c r="AD45" s="16">
        <v>2</v>
      </c>
      <c r="AE45" s="16">
        <v>3</v>
      </c>
      <c r="AF45" s="16">
        <v>0</v>
      </c>
      <c r="AG45" s="16">
        <v>0</v>
      </c>
      <c r="AH45" s="16">
        <v>4</v>
      </c>
      <c r="AI45" s="16">
        <v>3</v>
      </c>
      <c r="AJ45" s="16">
        <v>1</v>
      </c>
      <c r="AK45" s="16">
        <v>0</v>
      </c>
      <c r="AL45" s="16">
        <v>1.036</v>
      </c>
      <c r="AM45" s="34">
        <v>0</v>
      </c>
      <c r="AN45" s="34">
        <v>2</v>
      </c>
      <c r="AO45" s="34">
        <v>1</v>
      </c>
      <c r="AP45" s="34">
        <v>1</v>
      </c>
      <c r="AQ45" s="34">
        <v>0</v>
      </c>
      <c r="AR45" s="34">
        <v>0</v>
      </c>
      <c r="AS45" s="34">
        <v>5</v>
      </c>
      <c r="AT45" s="34">
        <v>0.44999999999999996</v>
      </c>
      <c r="AU45" s="34">
        <v>0</v>
      </c>
      <c r="AV45" s="34">
        <v>2</v>
      </c>
      <c r="AW45" s="34">
        <v>1</v>
      </c>
      <c r="AX45" s="34">
        <v>1</v>
      </c>
      <c r="AY45" s="34">
        <v>0</v>
      </c>
      <c r="AZ45" s="34">
        <v>0</v>
      </c>
      <c r="BA45" s="34">
        <v>1</v>
      </c>
      <c r="BB45" s="34">
        <v>0.7</v>
      </c>
      <c r="BC45" s="34">
        <v>0</v>
      </c>
      <c r="BD45" s="34">
        <v>3</v>
      </c>
      <c r="BE45" s="34">
        <v>1</v>
      </c>
      <c r="BF45" s="34">
        <v>2</v>
      </c>
      <c r="BG45" s="34">
        <v>5</v>
      </c>
      <c r="BH45" s="34">
        <v>1</v>
      </c>
      <c r="BI45" s="34">
        <v>0</v>
      </c>
      <c r="BJ45" s="34">
        <v>3</v>
      </c>
      <c r="BK45" s="34">
        <v>0</v>
      </c>
      <c r="BL45" s="34">
        <v>1</v>
      </c>
      <c r="BM45" s="34">
        <v>2</v>
      </c>
      <c r="BN45" s="34">
        <v>0</v>
      </c>
      <c r="BO45" s="34">
        <v>2</v>
      </c>
      <c r="BP45" s="34">
        <v>5</v>
      </c>
      <c r="BQ45" s="34">
        <v>1</v>
      </c>
      <c r="BR45" s="34">
        <v>4.3</v>
      </c>
      <c r="BS45" s="34">
        <v>2</v>
      </c>
      <c r="BT45" s="34">
        <v>0.1</v>
      </c>
      <c r="BU45" s="34">
        <v>0</v>
      </c>
      <c r="BV45" s="34">
        <v>0</v>
      </c>
      <c r="BW45" s="34">
        <v>0</v>
      </c>
      <c r="BX45" s="34">
        <v>0.1</v>
      </c>
      <c r="BY45" s="34">
        <v>1</v>
      </c>
      <c r="BZ45" s="34">
        <v>2</v>
      </c>
      <c r="CA45" s="34">
        <v>0</v>
      </c>
      <c r="CB45" s="34">
        <v>0</v>
      </c>
      <c r="CC45" s="34">
        <v>0</v>
      </c>
      <c r="CD45" s="34">
        <v>0</v>
      </c>
      <c r="CE45" s="34">
        <v>0</v>
      </c>
      <c r="CF45" s="34">
        <v>1</v>
      </c>
      <c r="CG45" s="34">
        <v>0.2</v>
      </c>
      <c r="CH45" s="34">
        <v>0</v>
      </c>
      <c r="CI45" s="34">
        <v>0</v>
      </c>
      <c r="CJ45" s="34">
        <v>0</v>
      </c>
      <c r="CK45" s="34">
        <v>0</v>
      </c>
      <c r="CL45" s="34">
        <v>1</v>
      </c>
      <c r="CM45" s="34">
        <v>1</v>
      </c>
      <c r="CN45" s="34">
        <v>1.2</v>
      </c>
      <c r="CO45" s="34">
        <v>0.1</v>
      </c>
      <c r="CP45" s="34">
        <v>0</v>
      </c>
      <c r="CQ45" s="34">
        <v>0</v>
      </c>
      <c r="CR45" s="34">
        <v>0</v>
      </c>
      <c r="CS45" s="34">
        <v>1.4999999999999999E-2</v>
      </c>
      <c r="CT45" s="34">
        <v>2</v>
      </c>
      <c r="CU45" s="34">
        <v>0</v>
      </c>
      <c r="CV45" s="34">
        <v>0</v>
      </c>
      <c r="CW45" s="34">
        <v>0</v>
      </c>
      <c r="CX45" s="34">
        <v>0</v>
      </c>
      <c r="CY45" s="34">
        <v>0</v>
      </c>
      <c r="CZ45" s="34">
        <v>0</v>
      </c>
      <c r="DA45" s="34">
        <v>0</v>
      </c>
      <c r="DB45" s="34">
        <v>0</v>
      </c>
      <c r="DC45" s="34">
        <v>0</v>
      </c>
      <c r="DD45" s="34">
        <v>0</v>
      </c>
      <c r="DE45" s="34">
        <v>0</v>
      </c>
      <c r="DF45" s="34">
        <v>0</v>
      </c>
      <c r="DG45" s="34">
        <v>1</v>
      </c>
      <c r="DH45" s="34">
        <v>0</v>
      </c>
      <c r="DI45" s="34">
        <v>0</v>
      </c>
      <c r="DJ45" s="34">
        <v>0</v>
      </c>
      <c r="DK45" s="34">
        <v>0</v>
      </c>
      <c r="DL45" s="34">
        <v>0</v>
      </c>
      <c r="DM45" s="34">
        <v>0</v>
      </c>
      <c r="DN45" s="34">
        <v>0</v>
      </c>
      <c r="DO45" s="34">
        <v>0</v>
      </c>
      <c r="DP45" s="34">
        <v>0</v>
      </c>
      <c r="DQ45" s="34">
        <v>0</v>
      </c>
      <c r="DR45" s="34">
        <v>0</v>
      </c>
      <c r="DS45" s="34">
        <v>0</v>
      </c>
      <c r="DT45" s="34">
        <v>0</v>
      </c>
      <c r="DU45" s="34">
        <v>4</v>
      </c>
      <c r="DV45" s="34">
        <v>0</v>
      </c>
      <c r="DW45" s="34">
        <v>0</v>
      </c>
      <c r="DX45" s="34">
        <v>0</v>
      </c>
      <c r="DY45" s="34">
        <v>0</v>
      </c>
      <c r="DZ45" s="34">
        <v>0</v>
      </c>
      <c r="EA45" s="34">
        <v>0</v>
      </c>
      <c r="EB45" s="34">
        <v>0</v>
      </c>
      <c r="EC45" s="34">
        <v>0</v>
      </c>
      <c r="ED45" s="17">
        <f t="shared" si="2"/>
        <v>0</v>
      </c>
      <c r="EE45" s="17">
        <f t="shared" si="9"/>
        <v>0.28000000000000114</v>
      </c>
      <c r="EF45" s="16">
        <f t="shared" si="12"/>
        <v>-0.28000000000000114</v>
      </c>
      <c r="EG45" s="18"/>
      <c r="EH45" s="12">
        <v>0</v>
      </c>
      <c r="EI45" s="80">
        <f>EH45*200</f>
        <v>0</v>
      </c>
      <c r="EJ45" s="10" t="s">
        <v>423</v>
      </c>
      <c r="EK45" s="12">
        <v>5</v>
      </c>
      <c r="EL45" s="12">
        <v>1</v>
      </c>
      <c r="EM45" s="12">
        <v>1</v>
      </c>
      <c r="EN45" s="12">
        <v>2</v>
      </c>
      <c r="EO45" s="12">
        <v>3</v>
      </c>
      <c r="EP45" s="12">
        <v>6</v>
      </c>
      <c r="EQ45" s="12">
        <v>0</v>
      </c>
      <c r="ER45" s="12">
        <v>0</v>
      </c>
      <c r="ES45" s="12">
        <v>0</v>
      </c>
      <c r="ET45" s="12">
        <v>2</v>
      </c>
      <c r="EU45" s="12">
        <v>1</v>
      </c>
      <c r="EV45" s="12">
        <v>2</v>
      </c>
      <c r="EW45" s="12">
        <v>0</v>
      </c>
      <c r="EX45" s="12">
        <v>3</v>
      </c>
      <c r="EY45" s="12">
        <v>0</v>
      </c>
      <c r="EZ45" s="12">
        <v>3</v>
      </c>
      <c r="FA45" s="12">
        <v>0</v>
      </c>
      <c r="FB45" s="12">
        <v>0.36</v>
      </c>
      <c r="FC45" s="35">
        <v>0</v>
      </c>
      <c r="FD45" s="35">
        <v>4</v>
      </c>
      <c r="FE45" s="35">
        <v>1</v>
      </c>
      <c r="FF45" s="35">
        <v>0</v>
      </c>
      <c r="FG45" s="35">
        <v>0</v>
      </c>
      <c r="FH45" s="35">
        <v>1</v>
      </c>
      <c r="FI45" s="35">
        <v>3</v>
      </c>
      <c r="FJ45" s="35">
        <v>0.44999999999999996</v>
      </c>
      <c r="FK45" s="35" t="e">
        <f>VLOOKUP(H45,#REF!,2,)</f>
        <v>#REF!</v>
      </c>
      <c r="FL45" s="35">
        <v>4</v>
      </c>
      <c r="FM45" s="16" t="e">
        <f t="shared" si="3"/>
        <v>#REF!</v>
      </c>
      <c r="FN45" s="16" t="e">
        <f t="shared" si="8"/>
        <v>#REF!</v>
      </c>
      <c r="FO45" s="44" t="e">
        <f t="shared" si="4"/>
        <v>#REF!</v>
      </c>
      <c r="FP45" s="10" t="s">
        <v>108</v>
      </c>
      <c r="FR45" s="74">
        <f t="shared" si="11"/>
        <v>0</v>
      </c>
    </row>
    <row r="46" spans="1:185" s="10" customFormat="1" hidden="1">
      <c r="A46" s="12">
        <v>43</v>
      </c>
      <c r="B46" s="13" t="s">
        <v>22</v>
      </c>
      <c r="C46" s="13" t="s">
        <v>61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692026</v>
      </c>
      <c r="I46" s="15" t="s">
        <v>28</v>
      </c>
      <c r="J46" s="16">
        <v>5.9250000000000034</v>
      </c>
      <c r="K46" s="20"/>
      <c r="L46" s="20"/>
      <c r="M46" s="20">
        <f>12</f>
        <v>12</v>
      </c>
      <c r="N46" s="12"/>
      <c r="O46" s="12"/>
      <c r="P46" s="12"/>
      <c r="Q46" s="12"/>
      <c r="R46" s="12"/>
      <c r="S46" s="12"/>
      <c r="T46" s="12"/>
      <c r="U46" s="12">
        <v>0.8</v>
      </c>
      <c r="V46" s="12">
        <v>2.6</v>
      </c>
      <c r="W46" s="12">
        <v>1</v>
      </c>
      <c r="X46" s="12">
        <v>1</v>
      </c>
      <c r="Y46" s="12">
        <v>8.33</v>
      </c>
      <c r="Z46" s="12">
        <v>2.1</v>
      </c>
      <c r="AA46" s="12">
        <v>3</v>
      </c>
      <c r="AB46" s="12">
        <v>1.37</v>
      </c>
      <c r="AC46" s="16">
        <v>0.6</v>
      </c>
      <c r="AD46" s="16">
        <v>2.2200000000000002</v>
      </c>
      <c r="AE46" s="16">
        <v>6.5</v>
      </c>
      <c r="AF46" s="16">
        <v>0.30000000000000004</v>
      </c>
      <c r="AG46" s="16">
        <v>0.64</v>
      </c>
      <c r="AH46" s="16">
        <v>3.3650000000000002</v>
      </c>
      <c r="AI46" s="16">
        <v>1.4000000000000001</v>
      </c>
      <c r="AJ46" s="16">
        <v>1.3</v>
      </c>
      <c r="AK46" s="16">
        <v>5.4</v>
      </c>
      <c r="AL46" s="16">
        <v>0.3</v>
      </c>
      <c r="AM46" s="38">
        <v>0.3</v>
      </c>
      <c r="AN46" s="34">
        <v>0</v>
      </c>
      <c r="AO46" s="34">
        <v>0.04</v>
      </c>
      <c r="AP46" s="34">
        <v>2.02</v>
      </c>
      <c r="AQ46" s="34">
        <v>7.56</v>
      </c>
      <c r="AR46" s="34">
        <v>3.7150000000000003</v>
      </c>
      <c r="AS46" s="34">
        <v>3.3</v>
      </c>
      <c r="AT46" s="34">
        <v>5.3</v>
      </c>
      <c r="AU46" s="34">
        <v>2.99</v>
      </c>
      <c r="AV46" s="34">
        <v>6.48</v>
      </c>
      <c r="AW46" s="34">
        <v>0.30000000000000004</v>
      </c>
      <c r="AX46" s="34">
        <v>2</v>
      </c>
      <c r="AY46" s="34">
        <v>2.2999999999999998</v>
      </c>
      <c r="AZ46" s="34">
        <v>1.1299999999999999</v>
      </c>
      <c r="BA46" s="34">
        <v>3.22</v>
      </c>
      <c r="BB46" s="34">
        <v>8.2949999999999999</v>
      </c>
      <c r="BC46" s="34">
        <v>4.76</v>
      </c>
      <c r="BD46" s="34">
        <v>1.75</v>
      </c>
      <c r="BE46" s="34">
        <v>4.7249999999999996</v>
      </c>
      <c r="BF46" s="34">
        <v>1.2</v>
      </c>
      <c r="BG46" s="34">
        <v>2.605</v>
      </c>
      <c r="BH46" s="34">
        <v>4.4000000000000004</v>
      </c>
      <c r="BI46" s="34">
        <v>1.1000000000000001</v>
      </c>
      <c r="BJ46" s="34">
        <v>2.2800000000000002</v>
      </c>
      <c r="BK46" s="34">
        <v>1.1499999999999999</v>
      </c>
      <c r="BL46" s="34">
        <v>0</v>
      </c>
      <c r="BM46" s="34">
        <v>1</v>
      </c>
      <c r="BN46" s="34">
        <v>0.25</v>
      </c>
      <c r="BO46" s="34">
        <v>3.0999999999999996</v>
      </c>
      <c r="BP46" s="34">
        <v>1.2</v>
      </c>
      <c r="BQ46" s="34">
        <v>0.42000000000000004</v>
      </c>
      <c r="BR46" s="34">
        <v>2.2999999999999998</v>
      </c>
      <c r="BS46" s="34">
        <v>2.2400000000000002</v>
      </c>
      <c r="BT46" s="34">
        <v>3.91</v>
      </c>
      <c r="BU46" s="34">
        <v>4</v>
      </c>
      <c r="BV46" s="34">
        <v>0.05</v>
      </c>
      <c r="BW46" s="34">
        <v>0</v>
      </c>
      <c r="BX46" s="34">
        <v>5.05</v>
      </c>
      <c r="BY46" s="34">
        <v>2</v>
      </c>
      <c r="BZ46" s="34">
        <v>3</v>
      </c>
      <c r="CA46" s="34">
        <v>4.33</v>
      </c>
      <c r="CB46" s="34">
        <v>3</v>
      </c>
      <c r="CC46" s="34">
        <v>4</v>
      </c>
      <c r="CD46" s="34">
        <v>5</v>
      </c>
      <c r="CE46" s="34">
        <v>0.1</v>
      </c>
      <c r="CF46" s="34">
        <v>28.08</v>
      </c>
      <c r="CG46" s="34">
        <v>5.0600000000000005</v>
      </c>
      <c r="CH46" s="34">
        <v>8</v>
      </c>
      <c r="CI46" s="34">
        <v>0</v>
      </c>
      <c r="CJ46" s="34">
        <v>0</v>
      </c>
      <c r="CK46" s="34">
        <v>1</v>
      </c>
      <c r="CL46" s="34">
        <v>2.1</v>
      </c>
      <c r="CM46" s="34">
        <v>3.1</v>
      </c>
      <c r="CN46" s="34">
        <v>0.22500000000000001</v>
      </c>
      <c r="CO46" s="34">
        <v>0.05</v>
      </c>
      <c r="CP46" s="34">
        <v>0.3</v>
      </c>
      <c r="CQ46" s="34">
        <v>4</v>
      </c>
      <c r="CR46" s="34">
        <v>1.1000000000000001</v>
      </c>
      <c r="CS46" s="34">
        <v>4.0250000000000004</v>
      </c>
      <c r="CT46" s="34">
        <v>0.20499999999999999</v>
      </c>
      <c r="CU46" s="34">
        <v>2.1</v>
      </c>
      <c r="CV46" s="34">
        <v>1.0900000000000001</v>
      </c>
      <c r="CW46" s="34">
        <v>0</v>
      </c>
      <c r="CX46" s="34">
        <v>0</v>
      </c>
      <c r="CY46" s="34">
        <v>2.0499999999999998</v>
      </c>
      <c r="CZ46" s="34">
        <v>1.2</v>
      </c>
      <c r="DA46" s="34">
        <v>0</v>
      </c>
      <c r="DB46" s="34">
        <v>4.1500000000000004</v>
      </c>
      <c r="DC46" s="34">
        <v>0</v>
      </c>
      <c r="DD46" s="34">
        <v>0</v>
      </c>
      <c r="DE46" s="34">
        <v>0</v>
      </c>
      <c r="DF46" s="34">
        <v>0</v>
      </c>
      <c r="DG46" s="34">
        <v>1.06</v>
      </c>
      <c r="DH46" s="34">
        <v>4.05</v>
      </c>
      <c r="DI46" s="34">
        <v>0.1</v>
      </c>
      <c r="DJ46" s="34">
        <v>1.075</v>
      </c>
      <c r="DK46" s="34">
        <v>1.325</v>
      </c>
      <c r="DL46" s="34">
        <v>1.1000000000000001</v>
      </c>
      <c r="DM46" s="34">
        <v>1.05</v>
      </c>
      <c r="DN46" s="34">
        <v>1.0900000000000001</v>
      </c>
      <c r="DO46" s="34">
        <v>1.1499999999999999</v>
      </c>
      <c r="DP46" s="34">
        <v>1.05</v>
      </c>
      <c r="DQ46" s="34">
        <v>0</v>
      </c>
      <c r="DR46" s="34">
        <v>1</v>
      </c>
      <c r="DS46" s="34">
        <v>0</v>
      </c>
      <c r="DT46" s="34">
        <v>0.05</v>
      </c>
      <c r="DU46" s="34">
        <v>1</v>
      </c>
      <c r="DV46" s="34">
        <v>0</v>
      </c>
      <c r="DW46" s="34">
        <v>1.1000000000000001</v>
      </c>
      <c r="DX46" s="34">
        <v>0.155</v>
      </c>
      <c r="DY46" s="34">
        <v>0</v>
      </c>
      <c r="DZ46" s="34">
        <v>0.05</v>
      </c>
      <c r="EA46" s="34">
        <v>0.1</v>
      </c>
      <c r="EB46" s="34">
        <v>0.05</v>
      </c>
      <c r="EC46" s="34">
        <v>0</v>
      </c>
      <c r="ED46" s="17">
        <f t="shared" si="2"/>
        <v>0.05</v>
      </c>
      <c r="EE46" s="17">
        <f t="shared" si="9"/>
        <v>17.875000000000004</v>
      </c>
      <c r="EF46" s="16">
        <f>(ED46*4)-EE46</f>
        <v>-17.675000000000004</v>
      </c>
      <c r="EG46" s="18"/>
      <c r="EH46" s="12">
        <v>0</v>
      </c>
      <c r="EI46" s="80">
        <f>EH46*200</f>
        <v>0</v>
      </c>
      <c r="EJ46" s="10" t="s">
        <v>423</v>
      </c>
      <c r="EK46" s="12">
        <v>0</v>
      </c>
      <c r="EL46" s="12">
        <v>4</v>
      </c>
      <c r="EM46" s="12">
        <v>2</v>
      </c>
      <c r="EN46" s="12">
        <v>1</v>
      </c>
      <c r="EO46" s="12">
        <v>7</v>
      </c>
      <c r="EP46" s="12">
        <v>0</v>
      </c>
      <c r="EQ46" s="12">
        <v>2</v>
      </c>
      <c r="ER46" s="12">
        <v>3</v>
      </c>
      <c r="ES46" s="12">
        <v>3</v>
      </c>
      <c r="ET46" s="12">
        <v>6</v>
      </c>
      <c r="EU46" s="12"/>
      <c r="EV46" s="12">
        <v>0</v>
      </c>
      <c r="EW46" s="12">
        <v>3</v>
      </c>
      <c r="EX46" s="12">
        <v>3.09</v>
      </c>
      <c r="EY46" s="12">
        <v>1</v>
      </c>
      <c r="EZ46" s="12">
        <v>1</v>
      </c>
      <c r="FA46" s="12">
        <v>4</v>
      </c>
      <c r="FB46" s="12">
        <v>0</v>
      </c>
      <c r="FC46" s="35">
        <v>0</v>
      </c>
      <c r="FD46" s="35">
        <v>1</v>
      </c>
      <c r="FE46" s="35">
        <v>1</v>
      </c>
      <c r="FF46" s="35">
        <v>2</v>
      </c>
      <c r="FG46" s="35">
        <v>5</v>
      </c>
      <c r="FH46" s="35">
        <v>3</v>
      </c>
      <c r="FI46" s="35">
        <v>4</v>
      </c>
      <c r="FJ46" s="35">
        <v>0</v>
      </c>
      <c r="FK46" s="35" t="e">
        <f>VLOOKUP(H46,#REF!,2,)</f>
        <v>#REF!</v>
      </c>
      <c r="FL46" s="35">
        <v>4</v>
      </c>
      <c r="FM46" s="16" t="e">
        <f t="shared" si="3"/>
        <v>#REF!</v>
      </c>
      <c r="FN46" s="16" t="e">
        <f t="shared" si="8"/>
        <v>#REF!</v>
      </c>
      <c r="FO46" s="44" t="e">
        <f t="shared" si="4"/>
        <v>#REF!</v>
      </c>
      <c r="FP46" s="10" t="s">
        <v>108</v>
      </c>
      <c r="FR46" s="74">
        <f t="shared" si="11"/>
        <v>0</v>
      </c>
      <c r="FT46" s="10">
        <v>12</v>
      </c>
    </row>
    <row r="47" spans="1:185" s="10" customFormat="1" hidden="1">
      <c r="A47" s="12">
        <v>44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18</v>
      </c>
      <c r="G47" s="14" t="s">
        <v>25</v>
      </c>
      <c r="H47" s="15">
        <v>692027</v>
      </c>
      <c r="I47" s="15" t="s">
        <v>29</v>
      </c>
      <c r="J47" s="16">
        <v>76.78</v>
      </c>
      <c r="K47" s="85">
        <f>48</f>
        <v>48</v>
      </c>
      <c r="L47" s="85"/>
      <c r="M47" s="85"/>
      <c r="N47" s="12"/>
      <c r="O47" s="12"/>
      <c r="P47" s="12"/>
      <c r="Q47" s="12"/>
      <c r="R47" s="12"/>
      <c r="S47" s="12"/>
      <c r="T47" s="12"/>
      <c r="U47" s="12">
        <v>19</v>
      </c>
      <c r="V47" s="12">
        <v>14</v>
      </c>
      <c r="W47" s="12">
        <v>21</v>
      </c>
      <c r="X47" s="12">
        <v>23</v>
      </c>
      <c r="Y47" s="12">
        <v>10</v>
      </c>
      <c r="Z47" s="12">
        <v>11</v>
      </c>
      <c r="AA47" s="12">
        <v>15</v>
      </c>
      <c r="AB47" s="12">
        <v>28</v>
      </c>
      <c r="AC47" s="16">
        <v>12</v>
      </c>
      <c r="AD47" s="16">
        <v>8</v>
      </c>
      <c r="AE47" s="16">
        <v>19</v>
      </c>
      <c r="AF47" s="16">
        <v>44</v>
      </c>
      <c r="AG47" s="16">
        <v>43</v>
      </c>
      <c r="AH47" s="16">
        <v>39</v>
      </c>
      <c r="AI47" s="16">
        <v>61</v>
      </c>
      <c r="AJ47" s="16">
        <v>47</v>
      </c>
      <c r="AK47" s="16">
        <v>14</v>
      </c>
      <c r="AL47" s="16">
        <v>20</v>
      </c>
      <c r="AM47" s="34">
        <v>11</v>
      </c>
      <c r="AN47" s="34">
        <v>15.2</v>
      </c>
      <c r="AO47" s="34">
        <v>20.166666666666668</v>
      </c>
      <c r="AP47" s="34">
        <v>33</v>
      </c>
      <c r="AQ47" s="34">
        <v>44</v>
      </c>
      <c r="AR47" s="34">
        <v>26</v>
      </c>
      <c r="AS47" s="34">
        <v>43</v>
      </c>
      <c r="AT47" s="34">
        <v>28</v>
      </c>
      <c r="AU47" s="34">
        <v>7</v>
      </c>
      <c r="AV47" s="34">
        <v>22</v>
      </c>
      <c r="AW47" s="34">
        <v>23</v>
      </c>
      <c r="AX47" s="34">
        <v>19</v>
      </c>
      <c r="AY47" s="34">
        <v>24</v>
      </c>
      <c r="AZ47" s="34">
        <v>15</v>
      </c>
      <c r="BA47" s="34">
        <v>30</v>
      </c>
      <c r="BB47" s="34">
        <v>28</v>
      </c>
      <c r="BC47" s="34">
        <v>25</v>
      </c>
      <c r="BD47" s="34">
        <v>31</v>
      </c>
      <c r="BE47" s="34">
        <v>30</v>
      </c>
      <c r="BF47" s="34">
        <v>35</v>
      </c>
      <c r="BG47" s="34">
        <v>67</v>
      </c>
      <c r="BH47" s="34">
        <v>52</v>
      </c>
      <c r="BI47" s="34">
        <v>35</v>
      </c>
      <c r="BJ47" s="34">
        <v>20</v>
      </c>
      <c r="BK47" s="34">
        <v>13</v>
      </c>
      <c r="BL47" s="34">
        <v>38</v>
      </c>
      <c r="BM47" s="34">
        <v>35</v>
      </c>
      <c r="BN47" s="34">
        <v>40</v>
      </c>
      <c r="BO47" s="34">
        <v>16</v>
      </c>
      <c r="BP47" s="34">
        <v>38</v>
      </c>
      <c r="BQ47" s="34">
        <v>25</v>
      </c>
      <c r="BR47" s="34">
        <v>38</v>
      </c>
      <c r="BS47" s="34">
        <v>25</v>
      </c>
      <c r="BT47" s="34">
        <v>14</v>
      </c>
      <c r="BU47" s="34">
        <v>18</v>
      </c>
      <c r="BV47" s="34">
        <v>23</v>
      </c>
      <c r="BW47" s="34">
        <v>17</v>
      </c>
      <c r="BX47" s="34">
        <v>11</v>
      </c>
      <c r="BY47" s="34">
        <v>16</v>
      </c>
      <c r="BZ47" s="34">
        <v>22</v>
      </c>
      <c r="CA47" s="34">
        <v>30</v>
      </c>
      <c r="CB47" s="34">
        <v>25</v>
      </c>
      <c r="CC47" s="34">
        <v>24</v>
      </c>
      <c r="CD47" s="34">
        <v>20</v>
      </c>
      <c r="CE47" s="34">
        <v>5</v>
      </c>
      <c r="CF47" s="34">
        <v>25</v>
      </c>
      <c r="CG47" s="34">
        <v>9</v>
      </c>
      <c r="CH47" s="34">
        <v>22</v>
      </c>
      <c r="CI47" s="34">
        <v>26</v>
      </c>
      <c r="CJ47" s="34">
        <v>41</v>
      </c>
      <c r="CK47" s="34">
        <v>12</v>
      </c>
      <c r="CL47" s="34">
        <v>36</v>
      </c>
      <c r="CM47" s="34">
        <v>17</v>
      </c>
      <c r="CN47" s="34">
        <v>37</v>
      </c>
      <c r="CO47" s="34">
        <v>17</v>
      </c>
      <c r="CP47" s="34">
        <v>32</v>
      </c>
      <c r="CQ47" s="34">
        <v>35</v>
      </c>
      <c r="CR47" s="34">
        <v>24</v>
      </c>
      <c r="CS47" s="34">
        <v>23</v>
      </c>
      <c r="CT47" s="34">
        <v>5</v>
      </c>
      <c r="CU47" s="34">
        <v>12</v>
      </c>
      <c r="CV47" s="34">
        <v>10</v>
      </c>
      <c r="CW47" s="34">
        <v>9</v>
      </c>
      <c r="CX47" s="34">
        <v>25</v>
      </c>
      <c r="CY47" s="34">
        <v>22</v>
      </c>
      <c r="CZ47" s="34">
        <v>28</v>
      </c>
      <c r="DA47" s="34">
        <v>3</v>
      </c>
      <c r="DB47" s="34">
        <v>9</v>
      </c>
      <c r="DC47" s="34">
        <v>8</v>
      </c>
      <c r="DD47" s="34">
        <v>16</v>
      </c>
      <c r="DE47" s="34">
        <v>18</v>
      </c>
      <c r="DF47" s="34">
        <v>22</v>
      </c>
      <c r="DG47" s="34">
        <v>14</v>
      </c>
      <c r="DH47" s="34">
        <v>3</v>
      </c>
      <c r="DI47" s="34">
        <v>4</v>
      </c>
      <c r="DJ47" s="34">
        <v>2</v>
      </c>
      <c r="DK47" s="34">
        <v>4</v>
      </c>
      <c r="DL47" s="34">
        <v>7</v>
      </c>
      <c r="DM47" s="34">
        <v>5</v>
      </c>
      <c r="DN47" s="34">
        <v>10</v>
      </c>
      <c r="DO47" s="34">
        <v>8</v>
      </c>
      <c r="DP47" s="34">
        <v>11</v>
      </c>
      <c r="DQ47" s="34">
        <v>23</v>
      </c>
      <c r="DR47" s="34">
        <v>17</v>
      </c>
      <c r="DS47" s="34">
        <v>8</v>
      </c>
      <c r="DT47" s="34">
        <v>4</v>
      </c>
      <c r="DU47" s="34">
        <v>5</v>
      </c>
      <c r="DV47" s="34">
        <v>6</v>
      </c>
      <c r="DW47" s="34">
        <v>1</v>
      </c>
      <c r="DX47" s="34">
        <v>1</v>
      </c>
      <c r="DY47" s="34">
        <v>8</v>
      </c>
      <c r="DZ47" s="34">
        <v>1</v>
      </c>
      <c r="EA47" s="34">
        <v>8</v>
      </c>
      <c r="EB47" s="34">
        <v>10</v>
      </c>
      <c r="EC47" s="34">
        <v>19</v>
      </c>
      <c r="ED47" s="17">
        <f t="shared" si="2"/>
        <v>9.5</v>
      </c>
      <c r="EE47" s="17">
        <f t="shared" si="9"/>
        <v>115.28</v>
      </c>
      <c r="EF47" s="16">
        <f>(ED47*4)-EE47</f>
        <v>-77.28</v>
      </c>
      <c r="EG47" s="18"/>
      <c r="EH47" s="12">
        <v>0</v>
      </c>
      <c r="EI47" s="80"/>
      <c r="EJ47" s="10" t="s">
        <v>422</v>
      </c>
      <c r="EK47" s="12">
        <v>19</v>
      </c>
      <c r="EL47" s="12">
        <v>6</v>
      </c>
      <c r="EM47" s="12">
        <v>13</v>
      </c>
      <c r="EN47" s="12">
        <v>32</v>
      </c>
      <c r="EO47" s="12">
        <v>28</v>
      </c>
      <c r="EP47" s="12">
        <v>4</v>
      </c>
      <c r="EQ47" s="12">
        <v>58</v>
      </c>
      <c r="ER47" s="12">
        <v>48</v>
      </c>
      <c r="ES47" s="12">
        <v>22</v>
      </c>
      <c r="ET47" s="12">
        <v>33</v>
      </c>
      <c r="EU47" s="12">
        <v>26</v>
      </c>
      <c r="EV47" s="12">
        <v>49</v>
      </c>
      <c r="EW47" s="12">
        <v>36</v>
      </c>
      <c r="EX47" s="12">
        <v>19</v>
      </c>
      <c r="EY47" s="12">
        <v>69</v>
      </c>
      <c r="EZ47" s="12">
        <v>68</v>
      </c>
      <c r="FA47" s="12">
        <v>10</v>
      </c>
      <c r="FB47" s="12">
        <v>11</v>
      </c>
      <c r="FC47" s="35">
        <v>3</v>
      </c>
      <c r="FD47" s="35">
        <v>41</v>
      </c>
      <c r="FE47" s="35">
        <v>17</v>
      </c>
      <c r="FF47" s="35">
        <v>44</v>
      </c>
      <c r="FG47" s="35">
        <v>1</v>
      </c>
      <c r="FH47" s="35">
        <v>57</v>
      </c>
      <c r="FI47" s="35">
        <v>50</v>
      </c>
      <c r="FJ47" s="35">
        <v>3</v>
      </c>
      <c r="FK47" s="35" t="e">
        <f>VLOOKUP(H47,#REF!,2,)</f>
        <v>#REF!</v>
      </c>
      <c r="FL47" s="35">
        <v>65</v>
      </c>
      <c r="FM47" s="16" t="e">
        <f t="shared" si="3"/>
        <v>#REF!</v>
      </c>
      <c r="FN47" s="16" t="e">
        <f t="shared" si="8"/>
        <v>#REF!</v>
      </c>
      <c r="FO47" s="44" t="e">
        <f t="shared" si="4"/>
        <v>#REF!</v>
      </c>
      <c r="FP47" s="10" t="s">
        <v>108</v>
      </c>
      <c r="FR47" s="74">
        <f t="shared" si="11"/>
        <v>0</v>
      </c>
      <c r="FZ47" s="10">
        <v>48</v>
      </c>
    </row>
    <row r="48" spans="1:185" s="10" customFormat="1" hidden="1">
      <c r="A48" s="12">
        <v>45</v>
      </c>
      <c r="B48" s="13" t="s">
        <v>22</v>
      </c>
      <c r="C48" s="13" t="s">
        <v>62</v>
      </c>
      <c r="D48" s="14">
        <v>1</v>
      </c>
      <c r="E48" s="14" t="s">
        <v>24</v>
      </c>
      <c r="F48" s="14">
        <v>18</v>
      </c>
      <c r="G48" s="14" t="s">
        <v>25</v>
      </c>
      <c r="H48" s="15">
        <v>692333</v>
      </c>
      <c r="I48" s="15" t="s">
        <v>29</v>
      </c>
      <c r="J48" s="16">
        <v>108</v>
      </c>
      <c r="K48" s="12">
        <f>96</f>
        <v>96</v>
      </c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>
        <v>7</v>
      </c>
      <c r="W48" s="12">
        <v>11</v>
      </c>
      <c r="X48" s="12">
        <v>16</v>
      </c>
      <c r="Y48" s="12">
        <v>36</v>
      </c>
      <c r="Z48" s="12">
        <v>19</v>
      </c>
      <c r="AA48" s="12">
        <v>9</v>
      </c>
      <c r="AB48" s="12">
        <v>24</v>
      </c>
      <c r="AC48" s="16">
        <v>13</v>
      </c>
      <c r="AD48" s="16">
        <v>3</v>
      </c>
      <c r="AE48" s="16">
        <v>23</v>
      </c>
      <c r="AF48" s="16">
        <v>73</v>
      </c>
      <c r="AG48" s="16">
        <v>52</v>
      </c>
      <c r="AH48" s="16">
        <v>28</v>
      </c>
      <c r="AI48" s="16">
        <v>23</v>
      </c>
      <c r="AJ48" s="16">
        <v>36</v>
      </c>
      <c r="AK48" s="16">
        <v>16</v>
      </c>
      <c r="AL48" s="16">
        <v>29</v>
      </c>
      <c r="AM48" s="34">
        <v>8.1</v>
      </c>
      <c r="AN48" s="34">
        <v>27</v>
      </c>
      <c r="AO48" s="34">
        <v>24.388888888888889</v>
      </c>
      <c r="AP48" s="34">
        <v>37</v>
      </c>
      <c r="AQ48" s="34">
        <v>59</v>
      </c>
      <c r="AR48" s="34">
        <v>35</v>
      </c>
      <c r="AS48" s="34">
        <v>51</v>
      </c>
      <c r="AT48" s="34">
        <v>60</v>
      </c>
      <c r="AU48" s="34">
        <v>11</v>
      </c>
      <c r="AV48" s="34">
        <v>32</v>
      </c>
      <c r="AW48" s="34">
        <v>38</v>
      </c>
      <c r="AX48" s="34">
        <v>39</v>
      </c>
      <c r="AY48" s="34">
        <v>34</v>
      </c>
      <c r="AZ48" s="34">
        <v>38</v>
      </c>
      <c r="BA48" s="34">
        <v>59</v>
      </c>
      <c r="BB48" s="34">
        <v>55</v>
      </c>
      <c r="BC48" s="34">
        <v>83</v>
      </c>
      <c r="BD48" s="34">
        <v>80.099999999999994</v>
      </c>
      <c r="BE48" s="34">
        <v>69</v>
      </c>
      <c r="BF48" s="34">
        <v>82</v>
      </c>
      <c r="BG48" s="34">
        <v>74</v>
      </c>
      <c r="BH48" s="34">
        <v>74</v>
      </c>
      <c r="BI48" s="34">
        <v>70</v>
      </c>
      <c r="BJ48" s="34">
        <v>48</v>
      </c>
      <c r="BK48" s="34">
        <v>72</v>
      </c>
      <c r="BL48" s="34">
        <v>93</v>
      </c>
      <c r="BM48" s="34">
        <v>47</v>
      </c>
      <c r="BN48" s="34">
        <v>40.1</v>
      </c>
      <c r="BO48" s="34">
        <v>74</v>
      </c>
      <c r="BP48" s="34">
        <v>123</v>
      </c>
      <c r="BQ48" s="34">
        <v>55</v>
      </c>
      <c r="BR48" s="34">
        <v>77</v>
      </c>
      <c r="BS48" s="34">
        <v>63</v>
      </c>
      <c r="BT48" s="34">
        <v>67</v>
      </c>
      <c r="BU48" s="34">
        <v>63</v>
      </c>
      <c r="BV48" s="34">
        <v>53</v>
      </c>
      <c r="BW48" s="34">
        <v>40</v>
      </c>
      <c r="BX48" s="34">
        <v>48</v>
      </c>
      <c r="BY48" s="34">
        <v>84</v>
      </c>
      <c r="BZ48" s="34">
        <v>99.1</v>
      </c>
      <c r="CA48" s="34">
        <v>80</v>
      </c>
      <c r="CB48" s="34">
        <v>88</v>
      </c>
      <c r="CC48" s="34">
        <v>49</v>
      </c>
      <c r="CD48" s="34">
        <v>86</v>
      </c>
      <c r="CE48" s="34">
        <v>24</v>
      </c>
      <c r="CF48" s="34">
        <v>46</v>
      </c>
      <c r="CG48" s="34">
        <v>52</v>
      </c>
      <c r="CH48" s="34">
        <v>64</v>
      </c>
      <c r="CI48" s="34">
        <v>42</v>
      </c>
      <c r="CJ48" s="34">
        <v>41</v>
      </c>
      <c r="CK48" s="34">
        <v>42</v>
      </c>
      <c r="CL48" s="34">
        <v>75</v>
      </c>
      <c r="CM48" s="34">
        <v>47</v>
      </c>
      <c r="CN48" s="34">
        <v>47</v>
      </c>
      <c r="CO48" s="34">
        <v>22</v>
      </c>
      <c r="CP48" s="34">
        <v>18</v>
      </c>
      <c r="CQ48" s="34">
        <v>24</v>
      </c>
      <c r="CR48" s="34">
        <v>71</v>
      </c>
      <c r="CS48" s="34">
        <v>53</v>
      </c>
      <c r="CT48" s="34">
        <v>28</v>
      </c>
      <c r="CU48" s="34">
        <v>42</v>
      </c>
      <c r="CV48" s="34">
        <v>29</v>
      </c>
      <c r="CW48" s="34">
        <v>9</v>
      </c>
      <c r="CX48" s="34">
        <v>30</v>
      </c>
      <c r="CY48" s="34">
        <v>45</v>
      </c>
      <c r="CZ48" s="34">
        <v>29</v>
      </c>
      <c r="DA48" s="34">
        <v>13</v>
      </c>
      <c r="DB48" s="34">
        <v>56</v>
      </c>
      <c r="DC48" s="34">
        <v>28</v>
      </c>
      <c r="DD48" s="34">
        <v>34</v>
      </c>
      <c r="DE48" s="34">
        <v>26</v>
      </c>
      <c r="DF48" s="34">
        <v>23</v>
      </c>
      <c r="DG48" s="34">
        <v>27</v>
      </c>
      <c r="DH48" s="34">
        <v>4</v>
      </c>
      <c r="DI48" s="34">
        <v>1</v>
      </c>
      <c r="DJ48" s="34">
        <v>27</v>
      </c>
      <c r="DK48" s="34">
        <v>20</v>
      </c>
      <c r="DL48" s="34">
        <v>41</v>
      </c>
      <c r="DM48" s="34">
        <v>47</v>
      </c>
      <c r="DN48" s="34">
        <v>26</v>
      </c>
      <c r="DO48" s="34">
        <v>26</v>
      </c>
      <c r="DP48" s="34">
        <v>19</v>
      </c>
      <c r="DQ48" s="34">
        <v>27</v>
      </c>
      <c r="DR48" s="34">
        <v>34</v>
      </c>
      <c r="DS48" s="34">
        <v>24</v>
      </c>
      <c r="DT48" s="34">
        <v>21</v>
      </c>
      <c r="DU48" s="34">
        <v>4</v>
      </c>
      <c r="DV48" s="34">
        <v>13</v>
      </c>
      <c r="DW48" s="34">
        <v>39</v>
      </c>
      <c r="DX48" s="34">
        <v>4</v>
      </c>
      <c r="DY48" s="34">
        <v>15</v>
      </c>
      <c r="DZ48" s="34">
        <v>2</v>
      </c>
      <c r="EA48" s="34">
        <v>1</v>
      </c>
      <c r="EB48" s="34">
        <v>6</v>
      </c>
      <c r="EC48" s="34">
        <v>14</v>
      </c>
      <c r="ED48" s="17">
        <f t="shared" si="2"/>
        <v>5.75</v>
      </c>
      <c r="EE48" s="17">
        <f t="shared" si="9"/>
        <v>198.25</v>
      </c>
      <c r="EF48" s="16">
        <f>(ED48*5)-EE48</f>
        <v>-169.5</v>
      </c>
      <c r="EG48" s="18"/>
      <c r="EH48" s="12">
        <v>0</v>
      </c>
      <c r="EI48" s="80"/>
      <c r="EJ48" s="10" t="s">
        <v>424</v>
      </c>
      <c r="EK48" s="12">
        <v>0</v>
      </c>
      <c r="EL48" s="12">
        <v>12</v>
      </c>
      <c r="EM48" s="12">
        <v>12</v>
      </c>
      <c r="EN48" s="12">
        <v>59</v>
      </c>
      <c r="EO48" s="12">
        <v>44</v>
      </c>
      <c r="EP48" s="12">
        <v>26</v>
      </c>
      <c r="EQ48" s="12">
        <v>146</v>
      </c>
      <c r="ER48" s="12">
        <v>47</v>
      </c>
      <c r="ES48" s="12">
        <v>37</v>
      </c>
      <c r="ET48" s="12">
        <v>0</v>
      </c>
      <c r="EU48" s="12">
        <v>45</v>
      </c>
      <c r="EV48" s="12">
        <v>61</v>
      </c>
      <c r="EW48" s="12">
        <v>22</v>
      </c>
      <c r="EX48" s="12">
        <v>10</v>
      </c>
      <c r="EY48" s="12">
        <v>48</v>
      </c>
      <c r="EZ48" s="12">
        <v>55</v>
      </c>
      <c r="FA48" s="12">
        <v>15</v>
      </c>
      <c r="FB48" s="12">
        <v>1</v>
      </c>
      <c r="FC48" s="35">
        <v>11</v>
      </c>
      <c r="FD48" s="35">
        <v>64</v>
      </c>
      <c r="FE48" s="35">
        <v>35</v>
      </c>
      <c r="FF48" s="35">
        <v>110</v>
      </c>
      <c r="FG48" s="35">
        <v>1</v>
      </c>
      <c r="FH48" s="35">
        <v>64</v>
      </c>
      <c r="FI48" s="35">
        <v>40</v>
      </c>
      <c r="FJ48" s="35">
        <v>2</v>
      </c>
      <c r="FK48" s="35" t="e">
        <f>VLOOKUP(H48,#REF!,2,)</f>
        <v>#REF!</v>
      </c>
      <c r="FL48" s="35">
        <v>90</v>
      </c>
      <c r="FM48" s="16" t="e">
        <f t="shared" si="3"/>
        <v>#REF!</v>
      </c>
      <c r="FN48" s="16" t="e">
        <f t="shared" si="8"/>
        <v>#REF!</v>
      </c>
      <c r="FO48" s="44" t="e">
        <f t="shared" si="4"/>
        <v>#REF!</v>
      </c>
      <c r="FP48" s="10" t="s">
        <v>108</v>
      </c>
      <c r="FR48" s="74">
        <f t="shared" si="11"/>
        <v>0</v>
      </c>
      <c r="GB48" s="10">
        <f>48*3</f>
        <v>144</v>
      </c>
    </row>
    <row r="49" spans="1:184" s="10" customFormat="1" hidden="1">
      <c r="A49" s="12">
        <v>46</v>
      </c>
      <c r="B49" s="13" t="s">
        <v>22</v>
      </c>
      <c r="C49" s="13" t="s">
        <v>46</v>
      </c>
      <c r="D49" s="14">
        <v>6</v>
      </c>
      <c r="E49" s="14" t="s">
        <v>24</v>
      </c>
      <c r="F49" s="19">
        <v>1</v>
      </c>
      <c r="G49" s="14" t="s">
        <v>25</v>
      </c>
      <c r="H49" s="15">
        <v>686032</v>
      </c>
      <c r="I49" s="15" t="s">
        <v>26</v>
      </c>
      <c r="J49" s="16">
        <v>276</v>
      </c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>
        <v>5</v>
      </c>
      <c r="V49" s="12">
        <v>8</v>
      </c>
      <c r="W49" s="12">
        <v>19</v>
      </c>
      <c r="X49" s="12">
        <v>12</v>
      </c>
      <c r="Y49" s="12">
        <v>34</v>
      </c>
      <c r="Z49" s="12">
        <v>7</v>
      </c>
      <c r="AA49" s="12">
        <v>23</v>
      </c>
      <c r="AB49" s="12">
        <v>16</v>
      </c>
      <c r="AC49" s="16">
        <v>5</v>
      </c>
      <c r="AD49" s="16">
        <v>24</v>
      </c>
      <c r="AE49" s="16">
        <v>25</v>
      </c>
      <c r="AF49" s="16">
        <v>23</v>
      </c>
      <c r="AG49" s="16">
        <v>16</v>
      </c>
      <c r="AH49" s="16">
        <v>27</v>
      </c>
      <c r="AI49" s="16">
        <v>28</v>
      </c>
      <c r="AJ49" s="16">
        <v>13</v>
      </c>
      <c r="AK49" s="16">
        <v>54</v>
      </c>
      <c r="AL49" s="16">
        <v>27</v>
      </c>
      <c r="AM49" s="34">
        <v>76</v>
      </c>
      <c r="AN49" s="34">
        <v>26</v>
      </c>
      <c r="AO49" s="34">
        <v>121</v>
      </c>
      <c r="AP49" s="34">
        <v>5</v>
      </c>
      <c r="AQ49" s="34">
        <v>1</v>
      </c>
      <c r="AR49" s="34">
        <v>13</v>
      </c>
      <c r="AS49" s="34">
        <v>8</v>
      </c>
      <c r="AT49" s="34">
        <v>10</v>
      </c>
      <c r="AU49" s="34">
        <v>0</v>
      </c>
      <c r="AV49" s="34">
        <v>8</v>
      </c>
      <c r="AW49" s="34">
        <v>13</v>
      </c>
      <c r="AX49" s="34">
        <v>22</v>
      </c>
      <c r="AY49" s="34">
        <v>1</v>
      </c>
      <c r="AZ49" s="34">
        <v>14</v>
      </c>
      <c r="BA49" s="34">
        <v>31</v>
      </c>
      <c r="BB49" s="34">
        <v>6</v>
      </c>
      <c r="BC49" s="34">
        <v>138</v>
      </c>
      <c r="BD49" s="34">
        <v>6</v>
      </c>
      <c r="BE49" s="34">
        <v>2</v>
      </c>
      <c r="BF49" s="34">
        <v>3</v>
      </c>
      <c r="BG49" s="34">
        <v>4</v>
      </c>
      <c r="BH49" s="34">
        <v>8</v>
      </c>
      <c r="BI49" s="34">
        <v>0</v>
      </c>
      <c r="BJ49" s="34">
        <v>12</v>
      </c>
      <c r="BK49" s="34">
        <v>2</v>
      </c>
      <c r="BL49" s="34">
        <v>9</v>
      </c>
      <c r="BM49" s="34">
        <v>3</v>
      </c>
      <c r="BN49" s="34">
        <v>0</v>
      </c>
      <c r="BO49" s="34">
        <v>6</v>
      </c>
      <c r="BP49" s="34">
        <v>0</v>
      </c>
      <c r="BQ49" s="34">
        <v>1</v>
      </c>
      <c r="BR49" s="34">
        <v>0</v>
      </c>
      <c r="BS49" s="34">
        <v>1</v>
      </c>
      <c r="BT49" s="34">
        <v>4</v>
      </c>
      <c r="BU49" s="34">
        <v>1</v>
      </c>
      <c r="BV49" s="34">
        <v>10</v>
      </c>
      <c r="BW49" s="34">
        <v>0</v>
      </c>
      <c r="BX49" s="34">
        <v>0</v>
      </c>
      <c r="BY49" s="34">
        <v>0</v>
      </c>
      <c r="BZ49" s="34">
        <v>2</v>
      </c>
      <c r="CA49" s="34">
        <v>0</v>
      </c>
      <c r="CB49" s="34">
        <v>3</v>
      </c>
      <c r="CC49" s="34">
        <v>0</v>
      </c>
      <c r="CD49" s="34">
        <v>0</v>
      </c>
      <c r="CE49" s="34">
        <v>0</v>
      </c>
      <c r="CF49" s="34">
        <v>0</v>
      </c>
      <c r="CG49" s="34">
        <v>0</v>
      </c>
      <c r="CH49" s="34">
        <v>3</v>
      </c>
      <c r="CI49" s="34">
        <v>0</v>
      </c>
      <c r="CJ49" s="34">
        <v>3</v>
      </c>
      <c r="CK49" s="34">
        <v>0</v>
      </c>
      <c r="CL49" s="34">
        <v>0</v>
      </c>
      <c r="CM49" s="34">
        <v>10</v>
      </c>
      <c r="CN49" s="34">
        <v>0</v>
      </c>
      <c r="CO49" s="34">
        <v>0</v>
      </c>
      <c r="CP49" s="34">
        <v>0</v>
      </c>
      <c r="CQ49" s="34">
        <v>0</v>
      </c>
      <c r="CR49" s="34">
        <v>6</v>
      </c>
      <c r="CS49" s="34">
        <v>0</v>
      </c>
      <c r="CT49" s="34">
        <v>0</v>
      </c>
      <c r="CU49" s="34">
        <v>6</v>
      </c>
      <c r="CV49" s="34">
        <v>0</v>
      </c>
      <c r="CW49" s="34">
        <v>0</v>
      </c>
      <c r="CX49" s="34">
        <v>2</v>
      </c>
      <c r="CY49" s="34">
        <v>0</v>
      </c>
      <c r="CZ49" s="34">
        <v>4</v>
      </c>
      <c r="DA49" s="34">
        <v>1</v>
      </c>
      <c r="DB49" s="34">
        <v>1</v>
      </c>
      <c r="DC49" s="34">
        <v>4</v>
      </c>
      <c r="DD49" s="34">
        <v>1</v>
      </c>
      <c r="DE49" s="34">
        <v>3</v>
      </c>
      <c r="DF49" s="34">
        <v>4</v>
      </c>
      <c r="DG49" s="34">
        <v>2</v>
      </c>
      <c r="DH49" s="34">
        <v>0</v>
      </c>
      <c r="DI49" s="34">
        <v>0</v>
      </c>
      <c r="DJ49" s="34">
        <v>1</v>
      </c>
      <c r="DK49" s="34">
        <v>0</v>
      </c>
      <c r="DL49" s="34">
        <v>2</v>
      </c>
      <c r="DM49" s="34">
        <v>6</v>
      </c>
      <c r="DN49" s="34">
        <v>1</v>
      </c>
      <c r="DO49" s="34">
        <v>1</v>
      </c>
      <c r="DP49" s="34">
        <v>0</v>
      </c>
      <c r="DQ49" s="34">
        <v>0</v>
      </c>
      <c r="DR49" s="34">
        <v>1</v>
      </c>
      <c r="DS49" s="34">
        <v>0</v>
      </c>
      <c r="DT49" s="34">
        <v>32</v>
      </c>
      <c r="DU49" s="34">
        <v>33</v>
      </c>
      <c r="DV49" s="34">
        <v>7</v>
      </c>
      <c r="DW49" s="34">
        <v>1</v>
      </c>
      <c r="DX49" s="34">
        <v>0</v>
      </c>
      <c r="DY49" s="34">
        <v>24</v>
      </c>
      <c r="DZ49" s="34">
        <v>2</v>
      </c>
      <c r="EA49" s="34">
        <v>0</v>
      </c>
      <c r="EB49" s="34">
        <v>8</v>
      </c>
      <c r="EC49" s="34">
        <v>2</v>
      </c>
      <c r="ED49" s="17">
        <f t="shared" si="2"/>
        <v>3</v>
      </c>
      <c r="EE49" s="17">
        <f t="shared" si="9"/>
        <v>273</v>
      </c>
      <c r="EF49" s="16">
        <f t="shared" si="5"/>
        <v>-267</v>
      </c>
      <c r="EG49" s="18"/>
      <c r="EH49" s="12">
        <v>0</v>
      </c>
      <c r="EI49" s="80"/>
      <c r="EJ49" s="10" t="s">
        <v>419</v>
      </c>
      <c r="EK49" s="12">
        <v>16</v>
      </c>
      <c r="EL49" s="12">
        <v>12</v>
      </c>
      <c r="EM49" s="12">
        <v>24</v>
      </c>
      <c r="EN49" s="12">
        <v>42</v>
      </c>
      <c r="EO49" s="12">
        <v>72</v>
      </c>
      <c r="EP49" s="12">
        <v>84</v>
      </c>
      <c r="EQ49" s="12">
        <v>56</v>
      </c>
      <c r="ER49" s="12">
        <v>51</v>
      </c>
      <c r="ES49" s="12">
        <v>48</v>
      </c>
      <c r="ET49" s="12">
        <v>0</v>
      </c>
      <c r="EU49" s="12">
        <v>40</v>
      </c>
      <c r="EV49" s="12">
        <v>54</v>
      </c>
      <c r="EW49" s="12">
        <v>18</v>
      </c>
      <c r="EX49" s="12">
        <v>35</v>
      </c>
      <c r="EY49" s="12">
        <v>12</v>
      </c>
      <c r="EZ49" s="12">
        <v>24</v>
      </c>
      <c r="FA49" s="12">
        <v>24</v>
      </c>
      <c r="FB49" s="12">
        <v>24</v>
      </c>
      <c r="FC49" s="35">
        <v>14</v>
      </c>
      <c r="FD49" s="35">
        <v>24</v>
      </c>
      <c r="FE49" s="35">
        <v>12</v>
      </c>
      <c r="FF49" s="35">
        <v>15</v>
      </c>
      <c r="FG49" s="35">
        <v>0</v>
      </c>
      <c r="FH49" s="35">
        <v>19</v>
      </c>
      <c r="FI49" s="35">
        <v>22</v>
      </c>
      <c r="FJ49" s="35">
        <v>1</v>
      </c>
      <c r="FK49" s="35" t="e">
        <f>VLOOKUP(H49,#REF!,2,)</f>
        <v>#REF!</v>
      </c>
      <c r="FL49" s="35">
        <v>4</v>
      </c>
      <c r="FM49" s="16" t="e">
        <f t="shared" si="3"/>
        <v>#REF!</v>
      </c>
      <c r="FN49" s="16" t="e">
        <f t="shared" si="8"/>
        <v>#REF!</v>
      </c>
      <c r="FO49" s="44" t="e">
        <f t="shared" si="4"/>
        <v>#REF!</v>
      </c>
      <c r="FR49" s="74">
        <f t="shared" si="11"/>
        <v>0</v>
      </c>
    </row>
    <row r="50" spans="1:184" s="10" customFormat="1" hidden="1">
      <c r="A50" s="12">
        <v>47</v>
      </c>
      <c r="B50" s="13" t="s">
        <v>22</v>
      </c>
      <c r="C50" s="13" t="s">
        <v>63</v>
      </c>
      <c r="D50" s="14">
        <v>1</v>
      </c>
      <c r="E50" s="14" t="s">
        <v>24</v>
      </c>
      <c r="F50" s="19">
        <v>200</v>
      </c>
      <c r="G50" s="14" t="s">
        <v>25</v>
      </c>
      <c r="H50" s="15">
        <v>692250</v>
      </c>
      <c r="I50" s="15" t="s">
        <v>28</v>
      </c>
      <c r="J50" s="16">
        <v>1.83</v>
      </c>
      <c r="K50" s="12">
        <v>4</v>
      </c>
      <c r="L50" s="12"/>
      <c r="M50" s="12">
        <f>20</f>
        <v>20</v>
      </c>
      <c r="N50" s="12"/>
      <c r="O50" s="12"/>
      <c r="P50" s="12"/>
      <c r="Q50" s="12"/>
      <c r="R50" s="12"/>
      <c r="S50" s="12">
        <f>4</f>
        <v>4</v>
      </c>
      <c r="T50" s="12">
        <f>4*2</f>
        <v>8</v>
      </c>
      <c r="U50" s="12"/>
      <c r="V50" s="12">
        <v>7</v>
      </c>
      <c r="W50" s="12">
        <v>3</v>
      </c>
      <c r="X50" s="12">
        <v>2</v>
      </c>
      <c r="Y50" s="12">
        <v>2</v>
      </c>
      <c r="Z50" s="12">
        <v>4</v>
      </c>
      <c r="AA50" s="12">
        <v>3</v>
      </c>
      <c r="AB50" s="12">
        <v>11</v>
      </c>
      <c r="AC50" s="16">
        <v>0</v>
      </c>
      <c r="AD50" s="16">
        <v>3</v>
      </c>
      <c r="AE50" s="16">
        <v>2</v>
      </c>
      <c r="AF50" s="16">
        <v>0</v>
      </c>
      <c r="AG50" s="16">
        <v>1</v>
      </c>
      <c r="AH50" s="16">
        <v>8.14</v>
      </c>
      <c r="AI50" s="16">
        <v>1</v>
      </c>
      <c r="AJ50" s="16">
        <v>0</v>
      </c>
      <c r="AK50" s="16">
        <v>6.88</v>
      </c>
      <c r="AL50" s="16">
        <v>0</v>
      </c>
      <c r="AM50" s="34">
        <v>1</v>
      </c>
      <c r="AN50" s="34">
        <v>0.24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4">
        <v>0</v>
      </c>
      <c r="AV50" s="34">
        <v>1</v>
      </c>
      <c r="AW50" s="34">
        <v>2</v>
      </c>
      <c r="AX50" s="34">
        <v>26</v>
      </c>
      <c r="AY50" s="34">
        <v>0</v>
      </c>
      <c r="AZ50" s="34">
        <v>2</v>
      </c>
      <c r="BA50" s="34">
        <v>1</v>
      </c>
      <c r="BB50" s="34">
        <v>1</v>
      </c>
      <c r="BC50" s="34">
        <v>2.1</v>
      </c>
      <c r="BD50" s="34">
        <v>3</v>
      </c>
      <c r="BE50" s="34">
        <v>0</v>
      </c>
      <c r="BF50" s="34">
        <v>0</v>
      </c>
      <c r="BG50" s="34">
        <v>3</v>
      </c>
      <c r="BH50" s="34">
        <v>0</v>
      </c>
      <c r="BI50" s="34">
        <v>0</v>
      </c>
      <c r="BJ50" s="34">
        <v>0</v>
      </c>
      <c r="BK50" s="34">
        <v>2</v>
      </c>
      <c r="BL50" s="34">
        <v>0</v>
      </c>
      <c r="BM50" s="34">
        <v>0</v>
      </c>
      <c r="BN50" s="34">
        <v>0.1</v>
      </c>
      <c r="BO50" s="34">
        <v>0</v>
      </c>
      <c r="BP50" s="34">
        <v>1</v>
      </c>
      <c r="BQ50" s="34">
        <v>0</v>
      </c>
      <c r="BR50" s="34">
        <v>0</v>
      </c>
      <c r="BS50" s="34">
        <v>0</v>
      </c>
      <c r="BT50" s="34">
        <v>0</v>
      </c>
      <c r="BU50" s="34">
        <v>3</v>
      </c>
      <c r="BV50" s="34">
        <v>3</v>
      </c>
      <c r="BW50" s="34">
        <v>1</v>
      </c>
      <c r="BX50" s="34">
        <v>1</v>
      </c>
      <c r="BY50" s="34">
        <v>1</v>
      </c>
      <c r="BZ50" s="34">
        <v>1</v>
      </c>
      <c r="CA50" s="34">
        <v>0</v>
      </c>
      <c r="CB50" s="34">
        <v>1</v>
      </c>
      <c r="CC50" s="34">
        <v>0</v>
      </c>
      <c r="CD50" s="34">
        <v>0.78500000000000003</v>
      </c>
      <c r="CE50" s="34">
        <v>0</v>
      </c>
      <c r="CF50" s="34">
        <v>1</v>
      </c>
      <c r="CG50" s="34">
        <v>0</v>
      </c>
      <c r="CH50" s="34">
        <v>0.06</v>
      </c>
      <c r="CI50" s="34">
        <v>1</v>
      </c>
      <c r="CJ50" s="34">
        <v>3</v>
      </c>
      <c r="CK50" s="34">
        <v>0</v>
      </c>
      <c r="CL50" s="34">
        <v>0</v>
      </c>
      <c r="CM50" s="34">
        <v>2</v>
      </c>
      <c r="CN50" s="34">
        <v>0.45</v>
      </c>
      <c r="CO50" s="34">
        <v>0.22500000000000001</v>
      </c>
      <c r="CP50" s="34">
        <v>0</v>
      </c>
      <c r="CQ50" s="34">
        <v>0</v>
      </c>
      <c r="CR50" s="34">
        <v>0.25</v>
      </c>
      <c r="CS50" s="34">
        <v>0</v>
      </c>
      <c r="CT50" s="34">
        <v>1.325</v>
      </c>
      <c r="CU50" s="34">
        <v>0</v>
      </c>
      <c r="CV50" s="34">
        <v>1.9</v>
      </c>
      <c r="CW50" s="34">
        <v>1.9</v>
      </c>
      <c r="CX50" s="34">
        <v>0</v>
      </c>
      <c r="CY50" s="34">
        <v>0.25</v>
      </c>
      <c r="CZ50" s="34">
        <v>0.875</v>
      </c>
      <c r="DA50" s="34">
        <v>1</v>
      </c>
      <c r="DB50" s="34">
        <v>0.1</v>
      </c>
      <c r="DC50" s="34">
        <v>3</v>
      </c>
      <c r="DD50" s="34">
        <v>0.25</v>
      </c>
      <c r="DE50" s="34">
        <v>0</v>
      </c>
      <c r="DF50" s="34">
        <v>0.5</v>
      </c>
      <c r="DG50" s="34">
        <v>0</v>
      </c>
      <c r="DH50" s="34">
        <v>0.5</v>
      </c>
      <c r="DI50" s="34">
        <v>0.75</v>
      </c>
      <c r="DJ50" s="34">
        <v>0.42499999999999999</v>
      </c>
      <c r="DK50" s="34">
        <v>0.4</v>
      </c>
      <c r="DL50" s="34">
        <v>0.17499999999999999</v>
      </c>
      <c r="DM50" s="34">
        <v>0</v>
      </c>
      <c r="DN50" s="34">
        <v>0.56999999999999995</v>
      </c>
      <c r="DO50" s="34">
        <v>0.60000000000000009</v>
      </c>
      <c r="DP50" s="34">
        <v>1.2</v>
      </c>
      <c r="DQ50" s="34">
        <v>1.3050000000000002</v>
      </c>
      <c r="DR50" s="34">
        <v>0.375</v>
      </c>
      <c r="DS50" s="34">
        <v>0</v>
      </c>
      <c r="DT50" s="34">
        <v>2.25</v>
      </c>
      <c r="DU50" s="34">
        <v>1.1400000000000001</v>
      </c>
      <c r="DV50" s="34">
        <v>0</v>
      </c>
      <c r="DW50" s="34">
        <v>0.7</v>
      </c>
      <c r="DX50" s="34">
        <v>0.61499999999999999</v>
      </c>
      <c r="DY50" s="34">
        <v>0</v>
      </c>
      <c r="DZ50" s="34">
        <v>0</v>
      </c>
      <c r="EA50" s="34">
        <v>8.5000000000000006E-2</v>
      </c>
      <c r="EB50" s="34">
        <v>0.02</v>
      </c>
      <c r="EC50" s="34">
        <v>2</v>
      </c>
      <c r="ED50" s="17">
        <f t="shared" si="2"/>
        <v>0.52625</v>
      </c>
      <c r="EE50" s="17">
        <f t="shared" si="9"/>
        <v>13.303749999999999</v>
      </c>
      <c r="EF50" s="16">
        <f t="shared" si="5"/>
        <v>-12.251249999999999</v>
      </c>
      <c r="EG50" s="18"/>
      <c r="EH50" s="12">
        <f>8</f>
        <v>8</v>
      </c>
      <c r="EI50" s="80"/>
      <c r="EJ50" s="10" t="s">
        <v>93</v>
      </c>
      <c r="EK50" s="12">
        <v>0</v>
      </c>
      <c r="EL50" s="12">
        <v>5</v>
      </c>
      <c r="EM50" s="12">
        <v>5</v>
      </c>
      <c r="EN50" s="12">
        <v>2</v>
      </c>
      <c r="EO50" s="12">
        <v>2</v>
      </c>
      <c r="EP50" s="12">
        <v>3</v>
      </c>
      <c r="EQ50" s="12">
        <v>3</v>
      </c>
      <c r="ER50" s="12">
        <v>10</v>
      </c>
      <c r="ES50" s="12">
        <v>0</v>
      </c>
      <c r="ET50" s="12">
        <v>4</v>
      </c>
      <c r="EU50" s="12">
        <v>2</v>
      </c>
      <c r="EV50" s="12">
        <v>2</v>
      </c>
      <c r="EW50" s="12">
        <v>1</v>
      </c>
      <c r="EX50" s="12">
        <v>1</v>
      </c>
      <c r="EY50" s="12">
        <v>1</v>
      </c>
      <c r="EZ50" s="12">
        <v>1</v>
      </c>
      <c r="FA50" s="12">
        <v>6.04</v>
      </c>
      <c r="FB50" s="12">
        <v>0</v>
      </c>
      <c r="FC50" s="35">
        <v>2</v>
      </c>
      <c r="FD50" s="35">
        <v>0</v>
      </c>
      <c r="FE50" s="35">
        <v>0</v>
      </c>
      <c r="FF50" s="35">
        <v>0</v>
      </c>
      <c r="FG50" s="35">
        <v>0</v>
      </c>
      <c r="FH50" s="35">
        <v>0</v>
      </c>
      <c r="FI50" s="35">
        <v>1</v>
      </c>
      <c r="FJ50" s="35">
        <v>0</v>
      </c>
      <c r="FK50" s="35" t="e">
        <f>VLOOKUP(H50,#REF!,2,)</f>
        <v>#REF!</v>
      </c>
      <c r="FL50" s="35">
        <v>1</v>
      </c>
      <c r="FM50" s="16" t="e">
        <f t="shared" si="3"/>
        <v>#REF!</v>
      </c>
      <c r="FN50" s="16" t="e">
        <f t="shared" si="8"/>
        <v>#REF!</v>
      </c>
      <c r="FO50" s="44" t="e">
        <f t="shared" si="4"/>
        <v>#REF!</v>
      </c>
      <c r="FR50" s="74">
        <f t="shared" si="11"/>
        <v>1600</v>
      </c>
    </row>
    <row r="51" spans="1:184" s="10" customFormat="1" hidden="1">
      <c r="A51" s="12">
        <v>48</v>
      </c>
      <c r="B51" s="13" t="s">
        <v>22</v>
      </c>
      <c r="C51" s="13" t="s">
        <v>30</v>
      </c>
      <c r="D51" s="14">
        <v>1</v>
      </c>
      <c r="E51" s="14" t="s">
        <v>24</v>
      </c>
      <c r="F51" s="19">
        <v>200</v>
      </c>
      <c r="G51" s="14" t="s">
        <v>25</v>
      </c>
      <c r="H51" s="15">
        <v>692090</v>
      </c>
      <c r="I51" s="15" t="s">
        <v>28</v>
      </c>
      <c r="J51" s="16">
        <v>0</v>
      </c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>
        <v>1</v>
      </c>
      <c r="W51" s="12">
        <v>1</v>
      </c>
      <c r="X51" s="12">
        <v>2</v>
      </c>
      <c r="Y51" s="12">
        <v>2</v>
      </c>
      <c r="Z51" s="12"/>
      <c r="AA51" s="12">
        <v>1</v>
      </c>
      <c r="AB51" s="12">
        <v>2</v>
      </c>
      <c r="AC51" s="16">
        <v>1</v>
      </c>
      <c r="AD51" s="16">
        <v>0</v>
      </c>
      <c r="AE51" s="16">
        <v>3</v>
      </c>
      <c r="AF51" s="16">
        <v>4</v>
      </c>
      <c r="AG51" s="16">
        <v>0</v>
      </c>
      <c r="AH51" s="16">
        <v>1</v>
      </c>
      <c r="AI51" s="16">
        <v>3</v>
      </c>
      <c r="AJ51" s="16">
        <v>3</v>
      </c>
      <c r="AK51" s="16">
        <v>4</v>
      </c>
      <c r="AL51" s="16">
        <v>2</v>
      </c>
      <c r="AM51" s="34">
        <v>101</v>
      </c>
      <c r="AN51" s="34">
        <v>1</v>
      </c>
      <c r="AO51" s="34">
        <v>2</v>
      </c>
      <c r="AP51" s="34">
        <v>59</v>
      </c>
      <c r="AQ51" s="34">
        <v>62</v>
      </c>
      <c r="AR51" s="34">
        <v>81</v>
      </c>
      <c r="AS51" s="34">
        <v>82</v>
      </c>
      <c r="AT51" s="34">
        <v>79</v>
      </c>
      <c r="AU51" s="34">
        <v>75</v>
      </c>
      <c r="AV51" s="34">
        <v>9</v>
      </c>
      <c r="AW51" s="34">
        <v>79</v>
      </c>
      <c r="AX51" s="34">
        <v>80</v>
      </c>
      <c r="AY51" s="34">
        <v>8</v>
      </c>
      <c r="AZ51" s="34">
        <v>78</v>
      </c>
      <c r="BA51" s="34">
        <v>0</v>
      </c>
      <c r="BB51" s="34">
        <v>1</v>
      </c>
      <c r="BC51" s="34">
        <v>1</v>
      </c>
      <c r="BD51" s="34">
        <v>1</v>
      </c>
      <c r="BE51" s="34">
        <v>3.1</v>
      </c>
      <c r="BF51" s="34">
        <v>1</v>
      </c>
      <c r="BG51" s="34">
        <v>2.1</v>
      </c>
      <c r="BH51" s="34">
        <v>4.0999999999999996</v>
      </c>
      <c r="BI51" s="34">
        <v>2</v>
      </c>
      <c r="BJ51" s="34">
        <v>1</v>
      </c>
      <c r="BK51" s="34">
        <v>0</v>
      </c>
      <c r="BL51" s="34">
        <v>1</v>
      </c>
      <c r="BM51" s="34">
        <v>1</v>
      </c>
      <c r="BN51" s="34">
        <v>0</v>
      </c>
      <c r="BO51" s="34">
        <v>0</v>
      </c>
      <c r="BP51" s="34">
        <v>0</v>
      </c>
      <c r="BQ51" s="34">
        <v>0</v>
      </c>
      <c r="BR51" s="34">
        <v>0</v>
      </c>
      <c r="BS51" s="34">
        <v>0</v>
      </c>
      <c r="BT51" s="34">
        <v>0</v>
      </c>
      <c r="BU51" s="34">
        <v>0</v>
      </c>
      <c r="BV51" s="34">
        <v>0</v>
      </c>
      <c r="BW51" s="34">
        <v>0</v>
      </c>
      <c r="BX51" s="34">
        <v>0</v>
      </c>
      <c r="BY51" s="34">
        <v>0</v>
      </c>
      <c r="BZ51" s="34">
        <v>0</v>
      </c>
      <c r="CA51" s="34">
        <v>0</v>
      </c>
      <c r="CB51" s="34">
        <v>0</v>
      </c>
      <c r="CC51" s="34">
        <v>0</v>
      </c>
      <c r="CD51" s="34">
        <v>0</v>
      </c>
      <c r="CE51" s="34">
        <v>0</v>
      </c>
      <c r="CF51" s="34">
        <v>0</v>
      </c>
      <c r="CG51" s="34">
        <v>1</v>
      </c>
      <c r="CH51" s="34">
        <v>0</v>
      </c>
      <c r="CI51" s="34">
        <v>0</v>
      </c>
      <c r="CJ51" s="34">
        <v>0</v>
      </c>
      <c r="CK51" s="34">
        <v>1</v>
      </c>
      <c r="CL51" s="34">
        <v>1</v>
      </c>
      <c r="CM51" s="34">
        <v>1</v>
      </c>
      <c r="CN51" s="34">
        <v>3</v>
      </c>
      <c r="CO51" s="34">
        <v>2</v>
      </c>
      <c r="CP51" s="34">
        <v>0</v>
      </c>
      <c r="CQ51" s="34">
        <v>3</v>
      </c>
      <c r="CR51" s="34">
        <v>2</v>
      </c>
      <c r="CS51" s="34">
        <v>33.090000000000003</v>
      </c>
      <c r="CT51" s="34">
        <v>2.38</v>
      </c>
      <c r="CU51" s="34">
        <v>2.15</v>
      </c>
      <c r="CV51" s="34">
        <v>22</v>
      </c>
      <c r="CW51" s="34">
        <v>11</v>
      </c>
      <c r="CX51" s="34">
        <v>1</v>
      </c>
      <c r="CY51" s="34">
        <v>0</v>
      </c>
      <c r="CZ51" s="34">
        <v>0</v>
      </c>
      <c r="DA51" s="34">
        <v>0</v>
      </c>
      <c r="DB51" s="34">
        <v>0</v>
      </c>
      <c r="DC51" s="34">
        <v>0</v>
      </c>
      <c r="DD51" s="34">
        <v>0</v>
      </c>
      <c r="DE51" s="34">
        <v>0.7</v>
      </c>
      <c r="DF51" s="34">
        <v>0</v>
      </c>
      <c r="DG51" s="34">
        <v>1</v>
      </c>
      <c r="DH51" s="34">
        <v>0</v>
      </c>
      <c r="DI51" s="34">
        <v>0</v>
      </c>
      <c r="DJ51" s="34">
        <v>0</v>
      </c>
      <c r="DK51" s="34">
        <v>0</v>
      </c>
      <c r="DL51" s="34">
        <v>0</v>
      </c>
      <c r="DM51" s="34">
        <v>0</v>
      </c>
      <c r="DN51" s="34">
        <v>0</v>
      </c>
      <c r="DO51" s="34">
        <v>0</v>
      </c>
      <c r="DP51" s="34">
        <v>0</v>
      </c>
      <c r="DQ51" s="34">
        <v>0</v>
      </c>
      <c r="DR51" s="34">
        <v>0</v>
      </c>
      <c r="DS51" s="34">
        <v>0</v>
      </c>
      <c r="DT51" s="34">
        <v>0</v>
      </c>
      <c r="DU51" s="34">
        <v>0</v>
      </c>
      <c r="DV51" s="34">
        <v>0</v>
      </c>
      <c r="DW51" s="34">
        <v>0</v>
      </c>
      <c r="DX51" s="34">
        <v>0</v>
      </c>
      <c r="DY51" s="34">
        <v>0</v>
      </c>
      <c r="DZ51" s="34">
        <v>0</v>
      </c>
      <c r="EA51" s="34">
        <v>0</v>
      </c>
      <c r="EB51" s="34">
        <v>0</v>
      </c>
      <c r="EC51" s="34">
        <v>0</v>
      </c>
      <c r="ED51" s="17">
        <f t="shared" si="2"/>
        <v>0</v>
      </c>
      <c r="EE51" s="17">
        <f t="shared" si="9"/>
        <v>0</v>
      </c>
      <c r="EF51" s="16">
        <f t="shared" si="5"/>
        <v>0</v>
      </c>
      <c r="EG51" s="18"/>
      <c r="EH51" s="12">
        <v>0</v>
      </c>
      <c r="EI51" s="80"/>
      <c r="EJ51" s="10" t="s">
        <v>93</v>
      </c>
      <c r="EK51" s="12">
        <v>0</v>
      </c>
      <c r="EL51" s="12">
        <v>0</v>
      </c>
      <c r="EM51" s="12">
        <v>1</v>
      </c>
      <c r="EN51" s="12">
        <v>4</v>
      </c>
      <c r="EO51" s="12">
        <v>0</v>
      </c>
      <c r="EP51" s="12">
        <v>1</v>
      </c>
      <c r="EQ51" s="12">
        <v>1</v>
      </c>
      <c r="ER51" s="12">
        <v>1</v>
      </c>
      <c r="ES51" s="12">
        <v>1</v>
      </c>
      <c r="ET51" s="12">
        <v>0</v>
      </c>
      <c r="EU51" s="12">
        <v>4</v>
      </c>
      <c r="EV51" s="12">
        <v>3</v>
      </c>
      <c r="EW51" s="12">
        <v>3</v>
      </c>
      <c r="EX51" s="12">
        <v>2</v>
      </c>
      <c r="EY51" s="12">
        <v>0</v>
      </c>
      <c r="EZ51" s="12">
        <v>6</v>
      </c>
      <c r="FA51" s="12">
        <v>2</v>
      </c>
      <c r="FB51" s="12">
        <v>0</v>
      </c>
      <c r="FC51" s="35">
        <v>103</v>
      </c>
      <c r="FD51" s="35">
        <v>1</v>
      </c>
      <c r="FE51" s="35">
        <v>1</v>
      </c>
      <c r="FF51" s="35">
        <v>59</v>
      </c>
      <c r="FG51" s="35">
        <v>67</v>
      </c>
      <c r="FH51" s="35">
        <v>77</v>
      </c>
      <c r="FI51" s="35">
        <v>79</v>
      </c>
      <c r="FJ51" s="35">
        <v>78</v>
      </c>
      <c r="FK51" s="35" t="e">
        <f>VLOOKUP(H51,#REF!,2,)</f>
        <v>#REF!</v>
      </c>
      <c r="FL51" s="35">
        <v>12</v>
      </c>
      <c r="FM51" s="16" t="e">
        <f t="shared" si="3"/>
        <v>#REF!</v>
      </c>
      <c r="FN51" s="16" t="e">
        <f t="shared" si="8"/>
        <v>#REF!</v>
      </c>
      <c r="FO51" s="44" t="e">
        <f t="shared" si="4"/>
        <v>#REF!</v>
      </c>
      <c r="FR51" s="74">
        <f t="shared" si="11"/>
        <v>0</v>
      </c>
    </row>
    <row r="52" spans="1:184" s="10" customFormat="1" hidden="1">
      <c r="A52" s="12">
        <v>49</v>
      </c>
      <c r="B52" s="13" t="s">
        <v>22</v>
      </c>
      <c r="C52" s="13" t="s">
        <v>64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692172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>
        <v>1</v>
      </c>
      <c r="X52" s="12">
        <v>1</v>
      </c>
      <c r="Y52" s="12"/>
      <c r="Z52" s="12"/>
      <c r="AA52" s="12">
        <v>0</v>
      </c>
      <c r="AB52" s="12">
        <v>0</v>
      </c>
      <c r="AC52" s="16">
        <v>0</v>
      </c>
      <c r="AD52" s="16">
        <v>0</v>
      </c>
      <c r="AE52" s="16"/>
      <c r="AF52" s="16">
        <v>1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34">
        <v>0</v>
      </c>
      <c r="AN52" s="34">
        <v>0</v>
      </c>
      <c r="AO52" s="34">
        <v>1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1</v>
      </c>
      <c r="BY52" s="34">
        <v>0</v>
      </c>
      <c r="BZ52" s="34">
        <v>0</v>
      </c>
      <c r="CA52" s="34">
        <v>1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>
        <v>0</v>
      </c>
      <c r="CS52" s="34">
        <v>2</v>
      </c>
      <c r="CT52" s="34">
        <v>0</v>
      </c>
      <c r="CU52" s="34">
        <v>0</v>
      </c>
      <c r="CV52" s="34">
        <v>0</v>
      </c>
      <c r="CW52" s="34">
        <v>6</v>
      </c>
      <c r="CX52" s="34">
        <v>0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</v>
      </c>
      <c r="DF52" s="34">
        <v>0</v>
      </c>
      <c r="DG52" s="34">
        <v>0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17">
        <f t="shared" si="2"/>
        <v>0</v>
      </c>
      <c r="EE52" s="17">
        <f t="shared" si="9"/>
        <v>0</v>
      </c>
      <c r="EF52" s="16">
        <f t="shared" si="5"/>
        <v>0</v>
      </c>
      <c r="EG52" s="18"/>
      <c r="EH52" s="12">
        <v>0</v>
      </c>
      <c r="EI52" s="80"/>
      <c r="EJ52" s="10" t="s">
        <v>93</v>
      </c>
      <c r="EK52" s="12">
        <v>2</v>
      </c>
      <c r="EL52" s="12">
        <v>0</v>
      </c>
      <c r="EM52" s="12">
        <v>0</v>
      </c>
      <c r="EN52" s="12">
        <v>1</v>
      </c>
      <c r="EO52" s="12">
        <v>0</v>
      </c>
      <c r="EP52" s="12">
        <v>0</v>
      </c>
      <c r="EQ52" s="12">
        <v>1</v>
      </c>
      <c r="ER52" s="12">
        <v>2</v>
      </c>
      <c r="ES52" s="12">
        <v>0</v>
      </c>
      <c r="ET52" s="12">
        <v>0</v>
      </c>
      <c r="EU52" s="12"/>
      <c r="EV52" s="12">
        <v>2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35">
        <v>0</v>
      </c>
      <c r="FD52" s="35">
        <v>0</v>
      </c>
      <c r="FE52" s="35">
        <v>0</v>
      </c>
      <c r="FF52" s="35">
        <v>0</v>
      </c>
      <c r="FG52" s="35">
        <v>0</v>
      </c>
      <c r="FH52" s="35">
        <v>0</v>
      </c>
      <c r="FI52" s="35">
        <v>0</v>
      </c>
      <c r="FJ52" s="35">
        <v>0</v>
      </c>
      <c r="FK52" s="35" t="e">
        <f>VLOOKUP(H52,#REF!,2,)</f>
        <v>#REF!</v>
      </c>
      <c r="FL52" s="35">
        <v>0</v>
      </c>
      <c r="FM52" s="16" t="e">
        <f t="shared" si="3"/>
        <v>#REF!</v>
      </c>
      <c r="FN52" s="16" t="e">
        <f t="shared" si="8"/>
        <v>#REF!</v>
      </c>
      <c r="FO52" s="44" t="e">
        <f t="shared" si="4"/>
        <v>#REF!</v>
      </c>
      <c r="FR52" s="74">
        <f t="shared" si="11"/>
        <v>0</v>
      </c>
    </row>
    <row r="53" spans="1:184" s="10" customFormat="1" hidden="1">
      <c r="A53" s="12">
        <v>50</v>
      </c>
      <c r="B53" s="13" t="s">
        <v>22</v>
      </c>
      <c r="C53" s="13" t="s">
        <v>65</v>
      </c>
      <c r="D53" s="14">
        <v>1</v>
      </c>
      <c r="E53" s="14" t="s">
        <v>24</v>
      </c>
      <c r="F53" s="19">
        <v>18</v>
      </c>
      <c r="G53" s="14" t="s">
        <v>25</v>
      </c>
      <c r="H53" s="15">
        <v>692335</v>
      </c>
      <c r="I53" s="15" t="s">
        <v>29</v>
      </c>
      <c r="J53" s="16">
        <v>55.78</v>
      </c>
      <c r="K53" s="12">
        <f>48</f>
        <v>48</v>
      </c>
      <c r="L53" s="12"/>
      <c r="M53" s="12">
        <f>48</f>
        <v>48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>
        <v>7</v>
      </c>
      <c r="AA53" s="12">
        <v>5</v>
      </c>
      <c r="AB53" s="12">
        <v>15</v>
      </c>
      <c r="AC53" s="16">
        <v>8</v>
      </c>
      <c r="AD53" s="16">
        <v>22</v>
      </c>
      <c r="AE53" s="16">
        <v>6</v>
      </c>
      <c r="AF53" s="16">
        <v>42</v>
      </c>
      <c r="AG53" s="16">
        <v>46</v>
      </c>
      <c r="AH53" s="16">
        <v>49</v>
      </c>
      <c r="AI53" s="16">
        <v>28</v>
      </c>
      <c r="AJ53" s="16">
        <v>37</v>
      </c>
      <c r="AK53" s="16">
        <v>36</v>
      </c>
      <c r="AL53" s="16">
        <v>27</v>
      </c>
      <c r="AM53" s="34">
        <v>20</v>
      </c>
      <c r="AN53" s="34">
        <v>25</v>
      </c>
      <c r="AO53" s="34">
        <v>15</v>
      </c>
      <c r="AP53" s="34">
        <v>31</v>
      </c>
      <c r="AQ53" s="34">
        <v>39</v>
      </c>
      <c r="AR53" s="34">
        <v>27</v>
      </c>
      <c r="AS53" s="34">
        <v>52</v>
      </c>
      <c r="AT53" s="34">
        <v>42</v>
      </c>
      <c r="AU53" s="34">
        <v>30</v>
      </c>
      <c r="AV53" s="34">
        <v>62</v>
      </c>
      <c r="AW53" s="34">
        <v>36</v>
      </c>
      <c r="AX53" s="34">
        <v>28</v>
      </c>
      <c r="AY53" s="34">
        <v>31</v>
      </c>
      <c r="AZ53" s="34">
        <v>29</v>
      </c>
      <c r="BA53" s="34">
        <v>42</v>
      </c>
      <c r="BB53" s="34">
        <v>35</v>
      </c>
      <c r="BC53" s="34">
        <v>33</v>
      </c>
      <c r="BD53" s="34">
        <v>34</v>
      </c>
      <c r="BE53" s="34">
        <v>77</v>
      </c>
      <c r="BF53" s="34">
        <v>19</v>
      </c>
      <c r="BG53" s="34">
        <v>78</v>
      </c>
      <c r="BH53" s="34">
        <v>73</v>
      </c>
      <c r="BI53" s="34">
        <v>53</v>
      </c>
      <c r="BJ53" s="34">
        <v>36</v>
      </c>
      <c r="BK53" s="34">
        <v>48</v>
      </c>
      <c r="BL53" s="34">
        <v>37</v>
      </c>
      <c r="BM53" s="34">
        <v>37</v>
      </c>
      <c r="BN53" s="34">
        <v>44</v>
      </c>
      <c r="BO53" s="34">
        <v>61</v>
      </c>
      <c r="BP53" s="34">
        <v>64</v>
      </c>
      <c r="BQ53" s="34">
        <v>39</v>
      </c>
      <c r="BR53" s="34">
        <v>36</v>
      </c>
      <c r="BS53" s="34">
        <v>33</v>
      </c>
      <c r="BT53" s="34">
        <v>42</v>
      </c>
      <c r="BU53" s="34">
        <v>79</v>
      </c>
      <c r="BV53" s="34">
        <v>45</v>
      </c>
      <c r="BW53" s="34">
        <v>22</v>
      </c>
      <c r="BX53" s="34">
        <v>18</v>
      </c>
      <c r="BY53" s="34">
        <v>38</v>
      </c>
      <c r="BZ53" s="34">
        <v>20</v>
      </c>
      <c r="CA53" s="34">
        <v>43</v>
      </c>
      <c r="CB53" s="34">
        <v>30</v>
      </c>
      <c r="CC53" s="34">
        <v>38</v>
      </c>
      <c r="CD53" s="34">
        <v>37</v>
      </c>
      <c r="CE53" s="34">
        <v>33</v>
      </c>
      <c r="CF53" s="34">
        <v>34</v>
      </c>
      <c r="CG53" s="34">
        <v>24</v>
      </c>
      <c r="CH53" s="34">
        <v>16</v>
      </c>
      <c r="CI53" s="34">
        <v>15</v>
      </c>
      <c r="CJ53" s="34">
        <v>13</v>
      </c>
      <c r="CK53" s="34">
        <v>14</v>
      </c>
      <c r="CL53" s="34">
        <v>27</v>
      </c>
      <c r="CM53" s="34">
        <v>18</v>
      </c>
      <c r="CN53" s="34">
        <v>23</v>
      </c>
      <c r="CO53" s="34">
        <v>31</v>
      </c>
      <c r="CP53" s="34">
        <v>41</v>
      </c>
      <c r="CQ53" s="34">
        <v>15</v>
      </c>
      <c r="CR53" s="34">
        <v>10</v>
      </c>
      <c r="CS53" s="34">
        <v>11</v>
      </c>
      <c r="CT53" s="34">
        <v>10</v>
      </c>
      <c r="CU53" s="34">
        <v>16</v>
      </c>
      <c r="CV53" s="34">
        <v>14</v>
      </c>
      <c r="CW53" s="34">
        <v>8</v>
      </c>
      <c r="CX53" s="34">
        <v>16</v>
      </c>
      <c r="CY53" s="34">
        <v>6</v>
      </c>
      <c r="CZ53" s="34">
        <v>17</v>
      </c>
      <c r="DA53" s="34">
        <v>27</v>
      </c>
      <c r="DB53" s="34">
        <v>46</v>
      </c>
      <c r="DC53" s="34">
        <v>27</v>
      </c>
      <c r="DD53" s="34">
        <v>10</v>
      </c>
      <c r="DE53" s="34">
        <v>16</v>
      </c>
      <c r="DF53" s="34">
        <v>16</v>
      </c>
      <c r="DG53" s="34">
        <v>4</v>
      </c>
      <c r="DH53" s="34">
        <v>8</v>
      </c>
      <c r="DI53" s="34">
        <v>16</v>
      </c>
      <c r="DJ53" s="34">
        <v>5</v>
      </c>
      <c r="DK53" s="34">
        <v>10</v>
      </c>
      <c r="DL53" s="34">
        <v>7</v>
      </c>
      <c r="DM53" s="34">
        <v>10</v>
      </c>
      <c r="DN53" s="34">
        <v>9</v>
      </c>
      <c r="DO53" s="34">
        <v>10</v>
      </c>
      <c r="DP53" s="34">
        <v>15</v>
      </c>
      <c r="DQ53" s="34">
        <v>15</v>
      </c>
      <c r="DR53" s="34">
        <v>20</v>
      </c>
      <c r="DS53" s="34">
        <v>19</v>
      </c>
      <c r="DT53" s="34">
        <v>8</v>
      </c>
      <c r="DU53" s="34">
        <v>11</v>
      </c>
      <c r="DV53" s="34">
        <v>39</v>
      </c>
      <c r="DW53" s="34">
        <v>11</v>
      </c>
      <c r="DX53" s="34">
        <v>11</v>
      </c>
      <c r="DY53" s="34">
        <v>11</v>
      </c>
      <c r="DZ53" s="34">
        <v>2</v>
      </c>
      <c r="EA53" s="34">
        <v>0</v>
      </c>
      <c r="EB53" s="34">
        <v>8.2200000000000006</v>
      </c>
      <c r="EC53" s="34">
        <v>23</v>
      </c>
      <c r="ED53" s="17">
        <f t="shared" si="2"/>
        <v>8.3049999999999997</v>
      </c>
      <c r="EE53" s="17">
        <f t="shared" si="9"/>
        <v>143.47499999999999</v>
      </c>
      <c r="EF53" s="16">
        <f>(ED53*6)-EE53</f>
        <v>-93.644999999999996</v>
      </c>
      <c r="EG53" s="18"/>
      <c r="EH53" s="12">
        <v>0</v>
      </c>
      <c r="EI53" s="80">
        <f>EH53*18</f>
        <v>0</v>
      </c>
      <c r="EJ53" s="10" t="s">
        <v>412</v>
      </c>
      <c r="EK53" s="12">
        <v>0</v>
      </c>
      <c r="EL53" s="12">
        <v>0</v>
      </c>
      <c r="EM53" s="12">
        <v>0</v>
      </c>
      <c r="EN53" s="12">
        <v>8</v>
      </c>
      <c r="EO53" s="12">
        <v>115</v>
      </c>
      <c r="EP53" s="12">
        <v>2</v>
      </c>
      <c r="EQ53" s="12">
        <v>34</v>
      </c>
      <c r="ER53" s="12">
        <v>35</v>
      </c>
      <c r="ES53" s="12">
        <v>12</v>
      </c>
      <c r="ET53" s="12">
        <v>32</v>
      </c>
      <c r="EU53" s="12">
        <v>35</v>
      </c>
      <c r="EV53" s="12">
        <v>74</v>
      </c>
      <c r="EW53" s="12">
        <v>21</v>
      </c>
      <c r="EX53" s="12">
        <v>17</v>
      </c>
      <c r="EY53" s="12">
        <v>28</v>
      </c>
      <c r="EZ53" s="12">
        <v>16</v>
      </c>
      <c r="FA53" s="12">
        <v>31</v>
      </c>
      <c r="FB53" s="12">
        <v>6</v>
      </c>
      <c r="FC53" s="35">
        <v>54</v>
      </c>
      <c r="FD53" s="35">
        <v>32</v>
      </c>
      <c r="FE53" s="35">
        <v>13</v>
      </c>
      <c r="FF53" s="35">
        <v>66</v>
      </c>
      <c r="FG53" s="35">
        <v>10</v>
      </c>
      <c r="FH53" s="35">
        <v>50</v>
      </c>
      <c r="FI53" s="35">
        <v>42</v>
      </c>
      <c r="FJ53" s="35">
        <v>76</v>
      </c>
      <c r="FK53" s="35" t="e">
        <f>VLOOKUP(H53,#REF!,2,)</f>
        <v>#REF!</v>
      </c>
      <c r="FL53" s="35">
        <v>49</v>
      </c>
      <c r="FM53" s="16" t="e">
        <f t="shared" si="3"/>
        <v>#REF!</v>
      </c>
      <c r="FN53" s="16" t="e">
        <f t="shared" si="8"/>
        <v>#REF!</v>
      </c>
      <c r="FO53" s="44" t="e">
        <f t="shared" si="4"/>
        <v>#REF!</v>
      </c>
      <c r="FR53" s="74">
        <f t="shared" si="11"/>
        <v>0</v>
      </c>
    </row>
    <row r="54" spans="1:184" s="10" customFormat="1" hidden="1">
      <c r="A54" s="12">
        <v>51</v>
      </c>
      <c r="B54" s="22" t="s">
        <v>22</v>
      </c>
      <c r="C54" s="22" t="s">
        <v>66</v>
      </c>
      <c r="D54" s="23">
        <v>1</v>
      </c>
      <c r="E54" s="23" t="s">
        <v>24</v>
      </c>
      <c r="F54" s="24">
        <v>180</v>
      </c>
      <c r="G54" s="23" t="s">
        <v>36</v>
      </c>
      <c r="H54" s="25">
        <v>793316</v>
      </c>
      <c r="I54" s="25" t="s">
        <v>28</v>
      </c>
      <c r="J54" s="16">
        <v>0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>
        <v>0</v>
      </c>
      <c r="AC54" s="16">
        <v>0</v>
      </c>
      <c r="AD54" s="16">
        <v>0</v>
      </c>
      <c r="AE54" s="16">
        <v>1</v>
      </c>
      <c r="AF54" s="16">
        <v>2</v>
      </c>
      <c r="AG54" s="16">
        <v>0</v>
      </c>
      <c r="AH54" s="16">
        <v>0</v>
      </c>
      <c r="AI54" s="16">
        <v>0</v>
      </c>
      <c r="AJ54" s="16">
        <v>1</v>
      </c>
      <c r="AK54" s="16">
        <v>1</v>
      </c>
      <c r="AL54" s="16">
        <v>1</v>
      </c>
      <c r="AM54" s="34">
        <v>0</v>
      </c>
      <c r="AN54" s="34">
        <v>0</v>
      </c>
      <c r="AO54" s="34">
        <v>0</v>
      </c>
      <c r="AP54" s="34">
        <v>0</v>
      </c>
      <c r="AQ54" s="34">
        <v>1</v>
      </c>
      <c r="AR54" s="34">
        <v>2</v>
      </c>
      <c r="AS54" s="34">
        <v>0</v>
      </c>
      <c r="AT54" s="34">
        <v>1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2</v>
      </c>
      <c r="BA54" s="34">
        <v>3</v>
      </c>
      <c r="BB54" s="34">
        <v>1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1</v>
      </c>
      <c r="BL54" s="34">
        <v>0</v>
      </c>
      <c r="BM54" s="34">
        <v>1</v>
      </c>
      <c r="BN54" s="34">
        <v>1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>
        <v>0</v>
      </c>
      <c r="CS54" s="34">
        <v>0</v>
      </c>
      <c r="CT54" s="34">
        <v>0</v>
      </c>
      <c r="CU54" s="34">
        <v>0</v>
      </c>
      <c r="CV54" s="34">
        <v>0</v>
      </c>
      <c r="CW54" s="34">
        <v>0</v>
      </c>
      <c r="CX54" s="34">
        <v>0</v>
      </c>
      <c r="CY54" s="34">
        <v>0</v>
      </c>
      <c r="CZ54" s="34">
        <v>0</v>
      </c>
      <c r="DA54" s="34">
        <v>0</v>
      </c>
      <c r="DB54" s="34">
        <v>0</v>
      </c>
      <c r="DC54" s="34">
        <v>0</v>
      </c>
      <c r="DD54" s="34">
        <v>0</v>
      </c>
      <c r="DE54" s="34">
        <v>0</v>
      </c>
      <c r="DF54" s="34">
        <v>0</v>
      </c>
      <c r="DG54" s="34">
        <v>0</v>
      </c>
      <c r="DH54" s="34">
        <v>0</v>
      </c>
      <c r="DI54" s="34">
        <v>0</v>
      </c>
      <c r="DJ54" s="34">
        <v>0</v>
      </c>
      <c r="DK54" s="34">
        <v>0</v>
      </c>
      <c r="DL54" s="34">
        <v>0</v>
      </c>
      <c r="DM54" s="34">
        <v>0</v>
      </c>
      <c r="DN54" s="34">
        <v>0</v>
      </c>
      <c r="DO54" s="34">
        <v>0</v>
      </c>
      <c r="DP54" s="34">
        <v>0</v>
      </c>
      <c r="DQ54" s="34">
        <v>0</v>
      </c>
      <c r="DR54" s="34">
        <v>0</v>
      </c>
      <c r="DS54" s="34">
        <v>0</v>
      </c>
      <c r="DT54" s="34">
        <v>0</v>
      </c>
      <c r="DU54" s="34">
        <v>0</v>
      </c>
      <c r="DV54" s="34">
        <v>0</v>
      </c>
      <c r="DW54" s="34">
        <v>0</v>
      </c>
      <c r="DX54" s="34">
        <v>0</v>
      </c>
      <c r="DY54" s="34">
        <v>0</v>
      </c>
      <c r="DZ54" s="34">
        <v>0</v>
      </c>
      <c r="EA54" s="34">
        <v>0</v>
      </c>
      <c r="EB54" s="34">
        <v>0</v>
      </c>
      <c r="EC54" s="34">
        <v>0</v>
      </c>
      <c r="ED54" s="17">
        <f t="shared" si="2"/>
        <v>0</v>
      </c>
      <c r="EE54" s="17">
        <f t="shared" si="9"/>
        <v>0</v>
      </c>
      <c r="EF54" s="16">
        <f t="shared" si="5"/>
        <v>0</v>
      </c>
      <c r="EG54" s="18"/>
      <c r="EH54" s="12">
        <v>0</v>
      </c>
      <c r="EI54" s="80"/>
      <c r="EJ54" s="10" t="s">
        <v>93</v>
      </c>
      <c r="EK54" s="12"/>
      <c r="EL54" s="12"/>
      <c r="EM54" s="12"/>
      <c r="EN54" s="12"/>
      <c r="EO54" s="12"/>
      <c r="EP54" s="12"/>
      <c r="EQ54" s="12">
        <v>0</v>
      </c>
      <c r="ER54" s="12"/>
      <c r="ES54" s="12">
        <v>0</v>
      </c>
      <c r="ET54" s="12">
        <v>11</v>
      </c>
      <c r="EU54" s="12"/>
      <c r="EV54" s="12">
        <v>1</v>
      </c>
      <c r="EW54" s="12">
        <v>0</v>
      </c>
      <c r="EX54" s="12">
        <v>0</v>
      </c>
      <c r="EY54" s="12">
        <v>0</v>
      </c>
      <c r="EZ54" s="12">
        <v>1</v>
      </c>
      <c r="FA54" s="12">
        <v>0</v>
      </c>
      <c r="FB54" s="12">
        <v>1</v>
      </c>
      <c r="FC54" s="35">
        <v>0</v>
      </c>
      <c r="FD54" s="35">
        <v>0</v>
      </c>
      <c r="FE54" s="35">
        <v>0</v>
      </c>
      <c r="FF54" s="35">
        <v>0</v>
      </c>
      <c r="FG54" s="35">
        <v>2</v>
      </c>
      <c r="FH54" s="35">
        <v>0</v>
      </c>
      <c r="FI54" s="35">
        <v>0</v>
      </c>
      <c r="FJ54" s="35">
        <v>0</v>
      </c>
      <c r="FK54" s="35" t="e">
        <f>VLOOKUP(H54,#REF!,2,)</f>
        <v>#REF!</v>
      </c>
      <c r="FL54" s="35">
        <v>0</v>
      </c>
      <c r="FM54" s="16" t="e">
        <f t="shared" si="3"/>
        <v>#REF!</v>
      </c>
      <c r="FN54" s="16" t="e">
        <f t="shared" si="8"/>
        <v>#REF!</v>
      </c>
      <c r="FO54" s="44" t="e">
        <f t="shared" si="4"/>
        <v>#REF!</v>
      </c>
      <c r="FR54" s="74">
        <f t="shared" si="11"/>
        <v>0</v>
      </c>
    </row>
    <row r="55" spans="1:184" s="10" customFormat="1" hidden="1">
      <c r="A55" s="12">
        <v>52</v>
      </c>
      <c r="B55" s="13" t="s">
        <v>22</v>
      </c>
      <c r="C55" s="13" t="s">
        <v>67</v>
      </c>
      <c r="D55" s="14">
        <v>1</v>
      </c>
      <c r="E55" s="14" t="s">
        <v>24</v>
      </c>
      <c r="F55" s="19">
        <v>180</v>
      </c>
      <c r="G55" s="14" t="s">
        <v>36</v>
      </c>
      <c r="H55" s="15" t="s">
        <v>68</v>
      </c>
      <c r="I55" s="1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3</v>
      </c>
      <c r="AF55" s="16">
        <v>0</v>
      </c>
      <c r="AG55" s="16">
        <v>0</v>
      </c>
      <c r="AH55" s="16">
        <v>3</v>
      </c>
      <c r="AI55" s="16">
        <v>0</v>
      </c>
      <c r="AJ55" s="16">
        <v>0</v>
      </c>
      <c r="AK55" s="16">
        <v>0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0</v>
      </c>
      <c r="AS55" s="34">
        <v>1</v>
      </c>
      <c r="AT55" s="34">
        <v>0</v>
      </c>
      <c r="AU55" s="34">
        <v>1</v>
      </c>
      <c r="AV55" s="34">
        <v>0</v>
      </c>
      <c r="AW55" s="34">
        <v>0</v>
      </c>
      <c r="AX55" s="34">
        <v>0</v>
      </c>
      <c r="AY55" s="34">
        <v>0</v>
      </c>
      <c r="AZ55" s="34">
        <v>1</v>
      </c>
      <c r="BA55" s="34">
        <v>0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0</v>
      </c>
      <c r="BL55" s="34">
        <v>0</v>
      </c>
      <c r="BM55" s="34">
        <v>0</v>
      </c>
      <c r="BN55" s="34">
        <v>0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1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17">
        <f t="shared" si="2"/>
        <v>0</v>
      </c>
      <c r="EE55" s="17">
        <f t="shared" si="9"/>
        <v>0</v>
      </c>
      <c r="EF55" s="16">
        <f t="shared" si="5"/>
        <v>0</v>
      </c>
      <c r="EG55" s="18"/>
      <c r="EH55" s="12">
        <v>0</v>
      </c>
      <c r="EI55" s="80"/>
      <c r="EJ55" s="10" t="s">
        <v>93</v>
      </c>
      <c r="EK55" s="12"/>
      <c r="EL55" s="12"/>
      <c r="EM55" s="12"/>
      <c r="EN55" s="12"/>
      <c r="EO55" s="12"/>
      <c r="EP55" s="12"/>
      <c r="EQ55" s="12">
        <v>0</v>
      </c>
      <c r="ER55" s="12"/>
      <c r="ES55" s="12"/>
      <c r="ET55" s="12">
        <v>2</v>
      </c>
      <c r="EU55" s="12">
        <v>2</v>
      </c>
      <c r="EV55" s="12">
        <v>1</v>
      </c>
      <c r="EW55" s="12">
        <v>1</v>
      </c>
      <c r="EX55" s="12">
        <v>0</v>
      </c>
      <c r="EY55" s="12">
        <v>3</v>
      </c>
      <c r="EZ55" s="12">
        <v>0</v>
      </c>
      <c r="FA55" s="12">
        <v>0</v>
      </c>
      <c r="FB55" s="12">
        <v>0</v>
      </c>
      <c r="FC55" s="35">
        <v>0</v>
      </c>
      <c r="FD55" s="35">
        <v>0</v>
      </c>
      <c r="FE55" s="35">
        <v>0</v>
      </c>
      <c r="FF55" s="35">
        <v>0</v>
      </c>
      <c r="FG55" s="35">
        <v>0</v>
      </c>
      <c r="FH55" s="35">
        <v>0</v>
      </c>
      <c r="FI55" s="35">
        <v>0</v>
      </c>
      <c r="FJ55" s="35">
        <v>2</v>
      </c>
      <c r="FK55" s="35" t="e">
        <f>VLOOKUP(H55,#REF!,2,)</f>
        <v>#REF!</v>
      </c>
      <c r="FL55" s="35">
        <v>0</v>
      </c>
      <c r="FM55" s="16" t="e">
        <f t="shared" si="3"/>
        <v>#REF!</v>
      </c>
      <c r="FN55" s="16" t="e">
        <f t="shared" si="8"/>
        <v>#REF!</v>
      </c>
      <c r="FO55" s="44" t="e">
        <f t="shared" si="4"/>
        <v>#REF!</v>
      </c>
      <c r="FR55" s="74">
        <f t="shared" si="11"/>
        <v>0</v>
      </c>
    </row>
    <row r="56" spans="1:184" s="10" customFormat="1" hidden="1">
      <c r="A56" s="12">
        <v>53</v>
      </c>
      <c r="B56" s="13" t="s">
        <v>22</v>
      </c>
      <c r="C56" s="13" t="s">
        <v>70</v>
      </c>
      <c r="D56" s="14">
        <v>6</v>
      </c>
      <c r="E56" s="14" t="s">
        <v>24</v>
      </c>
      <c r="F56" s="19">
        <v>1</v>
      </c>
      <c r="G56" s="14" t="s">
        <v>73</v>
      </c>
      <c r="H56" s="15" t="s">
        <v>71</v>
      </c>
      <c r="I56" s="15" t="s">
        <v>26</v>
      </c>
      <c r="J56" s="16">
        <v>1874</v>
      </c>
      <c r="K56" s="68"/>
      <c r="L56" s="68"/>
      <c r="M56" s="68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41</v>
      </c>
      <c r="AF56" s="16">
        <v>179</v>
      </c>
      <c r="AG56" s="16">
        <v>40</v>
      </c>
      <c r="AH56" s="16">
        <v>0</v>
      </c>
      <c r="AI56" s="16">
        <v>0</v>
      </c>
      <c r="AJ56" s="16">
        <v>39</v>
      </c>
      <c r="AK56" s="16">
        <v>82</v>
      </c>
      <c r="AL56" s="16">
        <v>127</v>
      </c>
      <c r="AM56" s="34">
        <v>402</v>
      </c>
      <c r="AN56" s="34">
        <v>401</v>
      </c>
      <c r="AO56" s="34">
        <v>360</v>
      </c>
      <c r="AP56" s="34">
        <v>323</v>
      </c>
      <c r="AQ56" s="34">
        <v>327</v>
      </c>
      <c r="AR56" s="34">
        <v>236</v>
      </c>
      <c r="AS56" s="34">
        <v>109</v>
      </c>
      <c r="AT56" s="34">
        <v>207</v>
      </c>
      <c r="AU56" s="34">
        <v>222</v>
      </c>
      <c r="AV56" s="34">
        <v>698</v>
      </c>
      <c r="AW56" s="34">
        <v>450</v>
      </c>
      <c r="AX56" s="34">
        <v>801</v>
      </c>
      <c r="AY56" s="34">
        <v>245</v>
      </c>
      <c r="AZ56" s="34">
        <v>570</v>
      </c>
      <c r="BA56" s="34">
        <v>95</v>
      </c>
      <c r="BB56" s="34">
        <v>110</v>
      </c>
      <c r="BC56" s="34">
        <v>535</v>
      </c>
      <c r="BD56" s="34">
        <v>900</v>
      </c>
      <c r="BE56" s="34">
        <v>47</v>
      </c>
      <c r="BF56" s="34">
        <v>153</v>
      </c>
      <c r="BG56" s="34">
        <v>554</v>
      </c>
      <c r="BH56" s="34">
        <v>357</v>
      </c>
      <c r="BI56" s="34">
        <v>170</v>
      </c>
      <c r="BJ56" s="34">
        <v>230</v>
      </c>
      <c r="BK56" s="34">
        <v>410</v>
      </c>
      <c r="BL56" s="34">
        <v>128</v>
      </c>
      <c r="BM56" s="34">
        <v>226</v>
      </c>
      <c r="BN56" s="34">
        <v>84</v>
      </c>
      <c r="BO56" s="34">
        <v>233</v>
      </c>
      <c r="BP56" s="34">
        <v>172</v>
      </c>
      <c r="BQ56" s="34">
        <v>199</v>
      </c>
      <c r="BR56" s="34">
        <v>137</v>
      </c>
      <c r="BS56" s="34">
        <v>109</v>
      </c>
      <c r="BT56" s="34">
        <v>163</v>
      </c>
      <c r="BU56" s="34">
        <v>139</v>
      </c>
      <c r="BV56" s="34">
        <v>130</v>
      </c>
      <c r="BW56" s="34">
        <v>184</v>
      </c>
      <c r="BX56" s="34">
        <v>143</v>
      </c>
      <c r="BY56" s="34">
        <v>135</v>
      </c>
      <c r="BZ56" s="34">
        <v>83</v>
      </c>
      <c r="CA56" s="34">
        <v>164</v>
      </c>
      <c r="CB56" s="34">
        <v>147</v>
      </c>
      <c r="CC56" s="34">
        <v>123</v>
      </c>
      <c r="CD56" s="34">
        <v>91</v>
      </c>
      <c r="CE56" s="34">
        <v>18</v>
      </c>
      <c r="CF56" s="34">
        <v>67</v>
      </c>
      <c r="CG56" s="34">
        <v>134</v>
      </c>
      <c r="CH56" s="34">
        <v>112</v>
      </c>
      <c r="CI56" s="34">
        <v>188</v>
      </c>
      <c r="CJ56" s="34">
        <v>70</v>
      </c>
      <c r="CK56" s="34">
        <v>29</v>
      </c>
      <c r="CL56" s="34">
        <v>102</v>
      </c>
      <c r="CM56" s="34">
        <v>49</v>
      </c>
      <c r="CN56" s="34">
        <v>78</v>
      </c>
      <c r="CO56" s="34">
        <v>62</v>
      </c>
      <c r="CP56" s="34">
        <v>13</v>
      </c>
      <c r="CQ56" s="34">
        <v>103</v>
      </c>
      <c r="CR56" s="34">
        <v>25</v>
      </c>
      <c r="CS56" s="34">
        <v>39</v>
      </c>
      <c r="CT56" s="34">
        <v>0</v>
      </c>
      <c r="CU56" s="34">
        <v>55</v>
      </c>
      <c r="CV56" s="34">
        <v>136</v>
      </c>
      <c r="CW56" s="34">
        <v>36</v>
      </c>
      <c r="CX56" s="34">
        <v>52</v>
      </c>
      <c r="CY56" s="34">
        <v>53</v>
      </c>
      <c r="CZ56" s="34">
        <v>35</v>
      </c>
      <c r="DA56" s="34">
        <v>6</v>
      </c>
      <c r="DB56" s="34">
        <v>208</v>
      </c>
      <c r="DC56" s="34">
        <v>204</v>
      </c>
      <c r="DD56" s="34">
        <v>451</v>
      </c>
      <c r="DE56" s="34">
        <v>573</v>
      </c>
      <c r="DF56" s="34">
        <v>536</v>
      </c>
      <c r="DG56" s="34">
        <v>376</v>
      </c>
      <c r="DH56" s="34">
        <v>435</v>
      </c>
      <c r="DI56" s="34">
        <v>325</v>
      </c>
      <c r="DJ56" s="34">
        <v>214</v>
      </c>
      <c r="DK56" s="34">
        <v>176</v>
      </c>
      <c r="DL56" s="34">
        <v>24</v>
      </c>
      <c r="DM56" s="34">
        <v>84</v>
      </c>
      <c r="DN56" s="34">
        <v>37</v>
      </c>
      <c r="DO56" s="34">
        <v>37</v>
      </c>
      <c r="DP56" s="34">
        <v>49</v>
      </c>
      <c r="DQ56" s="34">
        <v>90</v>
      </c>
      <c r="DR56" s="34">
        <v>164</v>
      </c>
      <c r="DS56" s="34">
        <v>45</v>
      </c>
      <c r="DT56" s="34">
        <v>19</v>
      </c>
      <c r="DU56" s="34">
        <v>55</v>
      </c>
      <c r="DV56" s="34">
        <v>341</v>
      </c>
      <c r="DW56" s="34">
        <v>318</v>
      </c>
      <c r="DX56" s="34">
        <v>270</v>
      </c>
      <c r="DY56" s="34">
        <v>239</v>
      </c>
      <c r="DZ56" s="34">
        <v>401</v>
      </c>
      <c r="EA56" s="34">
        <v>386</v>
      </c>
      <c r="EB56" s="34">
        <v>485</v>
      </c>
      <c r="EC56" s="34">
        <v>97</v>
      </c>
      <c r="ED56" s="17">
        <f t="shared" si="2"/>
        <v>342.25</v>
      </c>
      <c r="EE56" s="17">
        <f t="shared" si="9"/>
        <v>1531.75</v>
      </c>
      <c r="EF56" s="16">
        <f>(ED56*4)-EE56</f>
        <v>-162.75</v>
      </c>
      <c r="EG56" s="18"/>
      <c r="EH56" s="12">
        <v>0</v>
      </c>
      <c r="EI56" s="80"/>
      <c r="EJ56" s="10" t="s">
        <v>413</v>
      </c>
      <c r="EK56" s="12"/>
      <c r="EL56" s="12"/>
      <c r="EM56" s="12"/>
      <c r="EN56" s="12"/>
      <c r="EO56" s="12"/>
      <c r="EP56" s="12"/>
      <c r="EQ56" s="12">
        <v>0</v>
      </c>
      <c r="ER56" s="12"/>
      <c r="ES56" s="12"/>
      <c r="ET56" s="12">
        <v>0</v>
      </c>
      <c r="EU56" s="12">
        <v>146</v>
      </c>
      <c r="EV56" s="12">
        <v>66</v>
      </c>
      <c r="EW56" s="12">
        <v>0</v>
      </c>
      <c r="EX56" s="12">
        <v>1</v>
      </c>
      <c r="EY56" s="12">
        <v>0</v>
      </c>
      <c r="EZ56" s="12">
        <v>321</v>
      </c>
      <c r="FA56" s="12">
        <v>318</v>
      </c>
      <c r="FB56" s="12">
        <v>90</v>
      </c>
      <c r="FC56" s="35">
        <v>398</v>
      </c>
      <c r="FD56" s="35">
        <v>201</v>
      </c>
      <c r="FE56" s="35">
        <v>30</v>
      </c>
      <c r="FF56" s="35">
        <v>660</v>
      </c>
      <c r="FG56" s="35">
        <v>378</v>
      </c>
      <c r="FH56" s="35">
        <v>21</v>
      </c>
      <c r="FI56" s="35">
        <v>0</v>
      </c>
      <c r="FJ56" s="35">
        <v>490</v>
      </c>
      <c r="FK56" s="35" t="e">
        <f>VLOOKUP(H56,#REF!,2,)</f>
        <v>#REF!</v>
      </c>
      <c r="FL56" s="35">
        <v>481</v>
      </c>
      <c r="FM56" s="16" t="e">
        <f t="shared" si="3"/>
        <v>#REF!</v>
      </c>
      <c r="FN56" s="16" t="e">
        <f t="shared" si="8"/>
        <v>#REF!</v>
      </c>
      <c r="FO56" s="44" t="e">
        <f>(FM56*3)-FN56</f>
        <v>#REF!</v>
      </c>
      <c r="FP56" s="10" t="s">
        <v>94</v>
      </c>
      <c r="FR56" s="10">
        <f>EH56*0.946</f>
        <v>0</v>
      </c>
    </row>
    <row r="57" spans="1:184" s="10" customFormat="1" hidden="1">
      <c r="A57" s="12">
        <v>54</v>
      </c>
      <c r="B57" s="13" t="s">
        <v>22</v>
      </c>
      <c r="C57" s="13" t="s">
        <v>72</v>
      </c>
      <c r="D57" s="14">
        <v>6</v>
      </c>
      <c r="E57" s="14" t="s">
        <v>24</v>
      </c>
      <c r="F57" s="19">
        <v>1</v>
      </c>
      <c r="G57" s="14" t="s">
        <v>73</v>
      </c>
      <c r="H57" s="15">
        <v>804751</v>
      </c>
      <c r="I57" s="15" t="s">
        <v>26</v>
      </c>
      <c r="J57" s="16">
        <v>229</v>
      </c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23</v>
      </c>
      <c r="AF57" s="16">
        <v>91</v>
      </c>
      <c r="AG57" s="16">
        <v>237</v>
      </c>
      <c r="AH57" s="16">
        <v>0</v>
      </c>
      <c r="AI57" s="16">
        <v>78</v>
      </c>
      <c r="AJ57" s="16">
        <v>40</v>
      </c>
      <c r="AK57" s="16">
        <v>54</v>
      </c>
      <c r="AL57" s="16">
        <v>53</v>
      </c>
      <c r="AM57" s="34">
        <v>207</v>
      </c>
      <c r="AN57" s="34">
        <v>92</v>
      </c>
      <c r="AO57" s="34">
        <v>147</v>
      </c>
      <c r="AP57" s="34">
        <v>21</v>
      </c>
      <c r="AQ57" s="34">
        <v>120</v>
      </c>
      <c r="AR57" s="34">
        <v>84</v>
      </c>
      <c r="AS57" s="34">
        <v>96</v>
      </c>
      <c r="AT57" s="34">
        <v>154</v>
      </c>
      <c r="AU57" s="34">
        <v>12</v>
      </c>
      <c r="AV57" s="34">
        <v>90</v>
      </c>
      <c r="AW57" s="34">
        <v>72</v>
      </c>
      <c r="AX57" s="34">
        <v>188</v>
      </c>
      <c r="AY57" s="34">
        <v>135</v>
      </c>
      <c r="AZ57" s="34">
        <v>176</v>
      </c>
      <c r="BA57" s="34">
        <v>196</v>
      </c>
      <c r="BB57" s="34">
        <v>299</v>
      </c>
      <c r="BC57" s="34">
        <v>28</v>
      </c>
      <c r="BD57" s="34">
        <v>283</v>
      </c>
      <c r="BE57" s="34">
        <v>285</v>
      </c>
      <c r="BF57" s="34">
        <v>54</v>
      </c>
      <c r="BG57" s="34">
        <v>67</v>
      </c>
      <c r="BH57" s="34">
        <v>75</v>
      </c>
      <c r="BI57" s="34">
        <v>104</v>
      </c>
      <c r="BJ57" s="34">
        <v>105</v>
      </c>
      <c r="BK57" s="34">
        <v>78</v>
      </c>
      <c r="BL57" s="34">
        <v>72</v>
      </c>
      <c r="BM57" s="34">
        <v>47</v>
      </c>
      <c r="BN57" s="34">
        <v>64</v>
      </c>
      <c r="BO57" s="34">
        <v>99</v>
      </c>
      <c r="BP57" s="34">
        <v>54</v>
      </c>
      <c r="BQ57" s="34">
        <v>80</v>
      </c>
      <c r="BR57" s="34">
        <v>59</v>
      </c>
      <c r="BS57" s="34">
        <v>43</v>
      </c>
      <c r="BT57" s="34">
        <v>64</v>
      </c>
      <c r="BU57" s="34">
        <v>38</v>
      </c>
      <c r="BV57" s="34">
        <v>48</v>
      </c>
      <c r="BW57" s="34">
        <v>32</v>
      </c>
      <c r="BX57" s="34">
        <v>56</v>
      </c>
      <c r="BY57" s="34">
        <v>57</v>
      </c>
      <c r="BZ57" s="34">
        <v>76</v>
      </c>
      <c r="CA57" s="34">
        <v>67</v>
      </c>
      <c r="CB57" s="34">
        <v>35</v>
      </c>
      <c r="CC57" s="34">
        <v>24</v>
      </c>
      <c r="CD57" s="34">
        <v>55</v>
      </c>
      <c r="CE57" s="34">
        <v>7</v>
      </c>
      <c r="CF57" s="34">
        <v>12</v>
      </c>
      <c r="CG57" s="34">
        <v>40</v>
      </c>
      <c r="CH57" s="34">
        <v>54</v>
      </c>
      <c r="CI57" s="34">
        <v>24</v>
      </c>
      <c r="CJ57" s="34">
        <v>13</v>
      </c>
      <c r="CK57" s="34">
        <v>8</v>
      </c>
      <c r="CL57" s="34">
        <v>4</v>
      </c>
      <c r="CM57" s="34">
        <v>16</v>
      </c>
      <c r="CN57" s="34">
        <v>36</v>
      </c>
      <c r="CO57" s="34">
        <v>24</v>
      </c>
      <c r="CP57" s="34">
        <v>6</v>
      </c>
      <c r="CQ57" s="34">
        <v>12</v>
      </c>
      <c r="CR57" s="34">
        <v>10</v>
      </c>
      <c r="CS57" s="34">
        <v>12</v>
      </c>
      <c r="CT57" s="34">
        <v>22</v>
      </c>
      <c r="CU57" s="34">
        <v>32</v>
      </c>
      <c r="CV57" s="34">
        <v>30</v>
      </c>
      <c r="CW57" s="34">
        <v>2</v>
      </c>
      <c r="CX57" s="34">
        <v>6</v>
      </c>
      <c r="CY57" s="34">
        <v>16</v>
      </c>
      <c r="CZ57" s="34">
        <v>15</v>
      </c>
      <c r="DA57" s="34">
        <v>4</v>
      </c>
      <c r="DB57" s="34">
        <v>0</v>
      </c>
      <c r="DC57" s="34">
        <v>0</v>
      </c>
      <c r="DD57" s="34">
        <v>22</v>
      </c>
      <c r="DE57" s="34">
        <v>0</v>
      </c>
      <c r="DF57" s="34">
        <v>30</v>
      </c>
      <c r="DG57" s="34">
        <v>5</v>
      </c>
      <c r="DH57" s="34">
        <v>20</v>
      </c>
      <c r="DI57" s="34">
        <v>0</v>
      </c>
      <c r="DJ57" s="34">
        <v>16</v>
      </c>
      <c r="DK57" s="34">
        <v>57</v>
      </c>
      <c r="DL57" s="34">
        <v>0</v>
      </c>
      <c r="DM57" s="34">
        <v>12</v>
      </c>
      <c r="DN57" s="34">
        <v>22</v>
      </c>
      <c r="DO57" s="34">
        <v>28</v>
      </c>
      <c r="DP57" s="34">
        <v>16</v>
      </c>
      <c r="DQ57" s="34">
        <v>18</v>
      </c>
      <c r="DR57" s="34">
        <v>6</v>
      </c>
      <c r="DS57" s="34">
        <v>13</v>
      </c>
      <c r="DT57" s="34">
        <v>12</v>
      </c>
      <c r="DU57" s="34">
        <v>6</v>
      </c>
      <c r="DV57" s="34">
        <v>0</v>
      </c>
      <c r="DW57" s="34">
        <v>40</v>
      </c>
      <c r="DX57" s="34">
        <v>19</v>
      </c>
      <c r="DY57" s="34">
        <v>48</v>
      </c>
      <c r="DZ57" s="34">
        <v>34</v>
      </c>
      <c r="EA57" s="34">
        <v>18</v>
      </c>
      <c r="EB57" s="34">
        <v>72</v>
      </c>
      <c r="EC57" s="34">
        <v>12</v>
      </c>
      <c r="ED57" s="17">
        <f t="shared" si="2"/>
        <v>34</v>
      </c>
      <c r="EE57" s="17">
        <f t="shared" si="9"/>
        <v>195</v>
      </c>
      <c r="EF57" s="16">
        <f>(ED57*4)-EE57</f>
        <v>-59</v>
      </c>
      <c r="EG57" s="18"/>
      <c r="EH57" s="12">
        <v>0</v>
      </c>
      <c r="EI57" s="80"/>
      <c r="EJ57" s="10" t="s">
        <v>413</v>
      </c>
      <c r="EK57" s="12"/>
      <c r="EL57" s="12"/>
      <c r="EM57" s="12"/>
      <c r="EN57" s="12"/>
      <c r="EO57" s="12"/>
      <c r="EP57" s="12"/>
      <c r="EQ57" s="12">
        <v>0</v>
      </c>
      <c r="ER57" s="12"/>
      <c r="ES57" s="12"/>
      <c r="ET57" s="12">
        <v>0</v>
      </c>
      <c r="EU57" s="12">
        <v>216</v>
      </c>
      <c r="EV57" s="12">
        <v>12</v>
      </c>
      <c r="EW57" s="12">
        <v>384</v>
      </c>
      <c r="EX57" s="12">
        <v>25</v>
      </c>
      <c r="EY57" s="12">
        <v>18</v>
      </c>
      <c r="EZ57" s="12">
        <v>57</v>
      </c>
      <c r="FA57" s="12">
        <v>103</v>
      </c>
      <c r="FB57" s="12">
        <v>24</v>
      </c>
      <c r="FC57" s="35">
        <v>208</v>
      </c>
      <c r="FD57" s="35">
        <v>66</v>
      </c>
      <c r="FE57" s="35">
        <v>28</v>
      </c>
      <c r="FF57" s="35">
        <v>81</v>
      </c>
      <c r="FG57" s="35">
        <v>126</v>
      </c>
      <c r="FH57" s="35">
        <v>78</v>
      </c>
      <c r="FI57" s="35">
        <v>129</v>
      </c>
      <c r="FJ57" s="35">
        <v>46</v>
      </c>
      <c r="FK57" s="35" t="e">
        <f>VLOOKUP(H57,#REF!,2,)</f>
        <v>#REF!</v>
      </c>
      <c r="FL57" s="35">
        <v>115</v>
      </c>
      <c r="FM57" s="16" t="e">
        <f t="shared" si="3"/>
        <v>#REF!</v>
      </c>
      <c r="FN57" s="16" t="e">
        <f t="shared" si="8"/>
        <v>#REF!</v>
      </c>
      <c r="FO57" s="44" t="e">
        <f>(FM57*3)-FN57</f>
        <v>#REF!</v>
      </c>
      <c r="FP57" s="10" t="s">
        <v>94</v>
      </c>
      <c r="FR57" s="10">
        <f>EH57*0.946</f>
        <v>0</v>
      </c>
    </row>
    <row r="58" spans="1:184" s="10" customFormat="1" hidden="1">
      <c r="A58" s="12">
        <v>55</v>
      </c>
      <c r="B58" s="13" t="s">
        <v>22</v>
      </c>
      <c r="C58" s="13" t="s">
        <v>74</v>
      </c>
      <c r="D58" s="14">
        <v>12</v>
      </c>
      <c r="E58" s="14" t="s">
        <v>24</v>
      </c>
      <c r="F58" s="19">
        <v>12</v>
      </c>
      <c r="G58" s="14" t="s">
        <v>75</v>
      </c>
      <c r="H58" s="15" t="s">
        <v>76</v>
      </c>
      <c r="I58" s="15" t="s">
        <v>26</v>
      </c>
      <c r="J58" s="16">
        <v>0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19</v>
      </c>
      <c r="AF58" s="16">
        <v>13</v>
      </c>
      <c r="AG58" s="16">
        <v>19</v>
      </c>
      <c r="AH58" s="16">
        <v>28</v>
      </c>
      <c r="AI58" s="16">
        <v>48</v>
      </c>
      <c r="AJ58" s="16">
        <v>120</v>
      </c>
      <c r="AK58" s="16">
        <v>80</v>
      </c>
      <c r="AL58" s="16">
        <v>55</v>
      </c>
      <c r="AM58" s="34">
        <v>70</v>
      </c>
      <c r="AN58" s="34">
        <v>154</v>
      </c>
      <c r="AO58" s="34">
        <v>198</v>
      </c>
      <c r="AP58" s="34">
        <v>55</v>
      </c>
      <c r="AQ58" s="34">
        <v>85</v>
      </c>
      <c r="AR58" s="34">
        <v>109</v>
      </c>
      <c r="AS58" s="34">
        <v>166</v>
      </c>
      <c r="AT58" s="34">
        <v>51</v>
      </c>
      <c r="AU58" s="34">
        <v>140</v>
      </c>
      <c r="AV58" s="34">
        <v>61</v>
      </c>
      <c r="AW58" s="34">
        <v>79</v>
      </c>
      <c r="AX58" s="34">
        <v>90</v>
      </c>
      <c r="AY58" s="34">
        <v>148</v>
      </c>
      <c r="AZ58" s="34">
        <v>240</v>
      </c>
      <c r="BA58" s="34">
        <v>97</v>
      </c>
      <c r="BB58" s="34">
        <v>114</v>
      </c>
      <c r="BC58" s="34">
        <v>101</v>
      </c>
      <c r="BD58" s="34">
        <v>172</v>
      </c>
      <c r="BE58" s="34">
        <v>272</v>
      </c>
      <c r="BF58" s="34">
        <v>229</v>
      </c>
      <c r="BG58" s="34">
        <v>29</v>
      </c>
      <c r="BH58" s="34">
        <v>27</v>
      </c>
      <c r="BI58" s="34">
        <v>3</v>
      </c>
      <c r="BJ58" s="34">
        <v>4</v>
      </c>
      <c r="BK58" s="34">
        <v>0</v>
      </c>
      <c r="BL58" s="34">
        <v>38</v>
      </c>
      <c r="BM58" s="34">
        <v>3</v>
      </c>
      <c r="BN58" s="34">
        <v>2</v>
      </c>
      <c r="BO58" s="34">
        <v>1</v>
      </c>
      <c r="BP58" s="34">
        <v>30</v>
      </c>
      <c r="BQ58" s="34">
        <v>26</v>
      </c>
      <c r="BR58" s="34">
        <v>5</v>
      </c>
      <c r="BS58" s="34">
        <v>6</v>
      </c>
      <c r="BT58" s="34">
        <v>0</v>
      </c>
      <c r="BU58" s="34">
        <v>1</v>
      </c>
      <c r="BV58" s="34">
        <v>1</v>
      </c>
      <c r="BW58" s="34">
        <v>0</v>
      </c>
      <c r="BX58" s="34">
        <v>2</v>
      </c>
      <c r="BY58" s="34">
        <v>1</v>
      </c>
      <c r="BZ58" s="34">
        <v>1</v>
      </c>
      <c r="CA58" s="34">
        <v>0</v>
      </c>
      <c r="CB58" s="34">
        <v>1</v>
      </c>
      <c r="CC58" s="34">
        <v>1</v>
      </c>
      <c r="CD58" s="34">
        <v>2</v>
      </c>
      <c r="CE58" s="34">
        <v>0</v>
      </c>
      <c r="CF58" s="34">
        <v>0</v>
      </c>
      <c r="CG58" s="34">
        <v>3</v>
      </c>
      <c r="CH58" s="34">
        <v>6</v>
      </c>
      <c r="CI58" s="34">
        <v>2</v>
      </c>
      <c r="CJ58" s="34">
        <v>4</v>
      </c>
      <c r="CK58" s="34">
        <v>6</v>
      </c>
      <c r="CL58" s="34">
        <v>0</v>
      </c>
      <c r="CM58" s="34">
        <v>0</v>
      </c>
      <c r="CN58" s="34">
        <v>3</v>
      </c>
      <c r="CO58" s="34">
        <v>0</v>
      </c>
      <c r="CP58" s="34">
        <v>0</v>
      </c>
      <c r="CQ58" s="34">
        <v>2</v>
      </c>
      <c r="CR58" s="34">
        <v>0</v>
      </c>
      <c r="CS58" s="34">
        <v>0</v>
      </c>
      <c r="CT58" s="34">
        <v>0</v>
      </c>
      <c r="CU58" s="34">
        <v>2</v>
      </c>
      <c r="CV58" s="34">
        <v>1</v>
      </c>
      <c r="CW58" s="34">
        <v>0</v>
      </c>
      <c r="CX58" s="34">
        <v>12</v>
      </c>
      <c r="CY58" s="34">
        <v>0</v>
      </c>
      <c r="CZ58" s="34">
        <v>0</v>
      </c>
      <c r="DA58" s="34">
        <v>1</v>
      </c>
      <c r="DB58" s="34">
        <v>6</v>
      </c>
      <c r="DC58" s="34">
        <v>0</v>
      </c>
      <c r="DD58" s="34">
        <v>5</v>
      </c>
      <c r="DE58" s="34">
        <v>0</v>
      </c>
      <c r="DF58" s="34">
        <v>0</v>
      </c>
      <c r="DG58" s="34">
        <v>0</v>
      </c>
      <c r="DH58" s="34">
        <v>1</v>
      </c>
      <c r="DI58" s="34">
        <v>0</v>
      </c>
      <c r="DJ58" s="34">
        <v>1</v>
      </c>
      <c r="DK58" s="34">
        <v>0</v>
      </c>
      <c r="DL58" s="34">
        <v>0</v>
      </c>
      <c r="DM58" s="34">
        <v>0</v>
      </c>
      <c r="DN58" s="34">
        <v>0</v>
      </c>
      <c r="DO58" s="34">
        <v>0</v>
      </c>
      <c r="DP58" s="34">
        <v>0</v>
      </c>
      <c r="DQ58" s="34">
        <v>0</v>
      </c>
      <c r="DR58" s="34">
        <v>0</v>
      </c>
      <c r="DS58" s="34">
        <v>0</v>
      </c>
      <c r="DT58" s="34">
        <v>0</v>
      </c>
      <c r="DU58" s="34">
        <v>0</v>
      </c>
      <c r="DV58" s="34">
        <v>0</v>
      </c>
      <c r="DW58" s="34">
        <v>0</v>
      </c>
      <c r="DX58" s="34">
        <v>1</v>
      </c>
      <c r="DY58" s="34">
        <v>0</v>
      </c>
      <c r="DZ58" s="34">
        <v>0</v>
      </c>
      <c r="EA58" s="34">
        <v>0</v>
      </c>
      <c r="EB58" s="34">
        <v>0</v>
      </c>
      <c r="EC58" s="34">
        <v>0</v>
      </c>
      <c r="ED58" s="17">
        <f t="shared" si="2"/>
        <v>0</v>
      </c>
      <c r="EE58" s="17">
        <f t="shared" si="9"/>
        <v>0</v>
      </c>
      <c r="EF58" s="16">
        <f t="shared" si="5"/>
        <v>0</v>
      </c>
      <c r="EG58" s="18"/>
      <c r="EH58" s="12">
        <v>0</v>
      </c>
      <c r="EI58" s="80"/>
      <c r="EJ58" s="10" t="s">
        <v>97</v>
      </c>
      <c r="EK58" s="12"/>
      <c r="EL58" s="12"/>
      <c r="EM58" s="12"/>
      <c r="EN58" s="12"/>
      <c r="EO58" s="12"/>
      <c r="EP58" s="12"/>
      <c r="EQ58" s="12">
        <v>0</v>
      </c>
      <c r="ER58" s="12"/>
      <c r="ES58" s="12"/>
      <c r="ET58" s="12">
        <v>0</v>
      </c>
      <c r="EU58" s="12">
        <v>112</v>
      </c>
      <c r="EV58" s="12">
        <v>75</v>
      </c>
      <c r="EW58" s="12">
        <v>132</v>
      </c>
      <c r="EX58" s="12">
        <v>113</v>
      </c>
      <c r="EY58" s="12">
        <v>0</v>
      </c>
      <c r="EZ58" s="12">
        <v>267</v>
      </c>
      <c r="FA58" s="12">
        <v>216</v>
      </c>
      <c r="FB58" s="12">
        <v>48</v>
      </c>
      <c r="FC58" s="35">
        <v>0</v>
      </c>
      <c r="FD58" s="35">
        <v>84</v>
      </c>
      <c r="FE58" s="35">
        <v>36</v>
      </c>
      <c r="FF58" s="35">
        <v>192</v>
      </c>
      <c r="FG58" s="35">
        <v>72</v>
      </c>
      <c r="FH58" s="35">
        <v>171</v>
      </c>
      <c r="FI58" s="35">
        <v>331</v>
      </c>
      <c r="FJ58" s="35">
        <v>264</v>
      </c>
      <c r="FK58" s="35" t="e">
        <f>VLOOKUP(H58,#REF!,2,)</f>
        <v>#REF!</v>
      </c>
      <c r="FL58" s="35">
        <v>2</v>
      </c>
      <c r="FM58" s="16" t="e">
        <f t="shared" si="3"/>
        <v>#REF!</v>
      </c>
      <c r="FN58" s="16" t="e">
        <f t="shared" si="8"/>
        <v>#REF!</v>
      </c>
      <c r="FO58" s="44" t="e">
        <f t="shared" si="4"/>
        <v>#REF!</v>
      </c>
      <c r="FP58" s="10" t="s">
        <v>94</v>
      </c>
      <c r="FR58" s="10">
        <f>EH58*0.335</f>
        <v>0</v>
      </c>
    </row>
    <row r="59" spans="1:184" s="10" customFormat="1" hidden="1">
      <c r="A59" s="12">
        <v>56</v>
      </c>
      <c r="B59" s="13" t="s">
        <v>22</v>
      </c>
      <c r="C59" s="13" t="s">
        <v>80</v>
      </c>
      <c r="D59" s="14">
        <v>1</v>
      </c>
      <c r="E59" s="14" t="s">
        <v>24</v>
      </c>
      <c r="F59" s="19">
        <v>18</v>
      </c>
      <c r="G59" s="14" t="s">
        <v>25</v>
      </c>
      <c r="H59" s="15">
        <v>692100</v>
      </c>
      <c r="I59" s="15" t="s">
        <v>29</v>
      </c>
      <c r="J59" s="16">
        <v>14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/>
      <c r="AF59" s="16">
        <v>8</v>
      </c>
      <c r="AG59" s="16">
        <v>5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34">
        <v>0</v>
      </c>
      <c r="AN59" s="34">
        <v>0</v>
      </c>
      <c r="AO59" s="34">
        <v>0</v>
      </c>
      <c r="AP59" s="34">
        <v>4</v>
      </c>
      <c r="AQ59" s="34">
        <v>8</v>
      </c>
      <c r="AR59" s="34">
        <v>5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  <c r="BE59" s="34">
        <v>0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4">
        <v>0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7</v>
      </c>
      <c r="CF59" s="34">
        <v>0</v>
      </c>
      <c r="CG59" s="34">
        <v>0</v>
      </c>
      <c r="CH59" s="34">
        <v>0</v>
      </c>
      <c r="CI59" s="34">
        <v>0</v>
      </c>
      <c r="CJ59" s="34">
        <v>0</v>
      </c>
      <c r="CK59" s="34">
        <v>0</v>
      </c>
      <c r="CL59" s="34">
        <v>2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>
        <v>0</v>
      </c>
      <c r="CS59" s="34">
        <v>0</v>
      </c>
      <c r="CT59" s="34">
        <v>0</v>
      </c>
      <c r="CU59" s="34">
        <v>1</v>
      </c>
      <c r="CV59" s="34">
        <v>1</v>
      </c>
      <c r="CW59" s="34">
        <v>0</v>
      </c>
      <c r="CX59" s="34">
        <v>1</v>
      </c>
      <c r="CY59" s="34">
        <v>1</v>
      </c>
      <c r="CZ59" s="34">
        <v>0</v>
      </c>
      <c r="DA59" s="34">
        <v>0</v>
      </c>
      <c r="DB59" s="34">
        <v>2</v>
      </c>
      <c r="DC59" s="34">
        <v>2</v>
      </c>
      <c r="DD59" s="34">
        <v>0</v>
      </c>
      <c r="DE59" s="34">
        <v>0</v>
      </c>
      <c r="DF59" s="34">
        <v>1</v>
      </c>
      <c r="DG59" s="34">
        <v>0</v>
      </c>
      <c r="DH59" s="34">
        <v>0</v>
      </c>
      <c r="DI59" s="34">
        <v>0</v>
      </c>
      <c r="DJ59" s="34">
        <v>0</v>
      </c>
      <c r="DK59" s="34">
        <v>0</v>
      </c>
      <c r="DL59" s="34">
        <v>0</v>
      </c>
      <c r="DM59" s="34">
        <v>0</v>
      </c>
      <c r="DN59" s="34">
        <v>3</v>
      </c>
      <c r="DO59" s="34">
        <v>0</v>
      </c>
      <c r="DP59" s="34">
        <v>3</v>
      </c>
      <c r="DQ59" s="34">
        <v>4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0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17">
        <f t="shared" si="2"/>
        <v>0</v>
      </c>
      <c r="EE59" s="17">
        <f t="shared" si="9"/>
        <v>14</v>
      </c>
      <c r="EF59" s="16">
        <f t="shared" si="5"/>
        <v>-14</v>
      </c>
      <c r="EG59" s="18"/>
      <c r="EH59" s="12">
        <v>0</v>
      </c>
      <c r="EI59" s="80"/>
      <c r="EJ59" s="10" t="s">
        <v>422</v>
      </c>
      <c r="EK59" s="12"/>
      <c r="EL59" s="12"/>
      <c r="EM59" s="12"/>
      <c r="EN59" s="12"/>
      <c r="EO59" s="12"/>
      <c r="EP59" s="12"/>
      <c r="EQ59" s="12">
        <v>0</v>
      </c>
      <c r="ER59" s="12"/>
      <c r="ES59" s="12"/>
      <c r="ET59" s="12">
        <v>0</v>
      </c>
      <c r="EU59" s="12"/>
      <c r="EV59" s="12">
        <v>12</v>
      </c>
      <c r="EW59" s="12">
        <v>6</v>
      </c>
      <c r="EX59" s="12">
        <v>0</v>
      </c>
      <c r="EY59" s="12">
        <v>0</v>
      </c>
      <c r="EZ59" s="12">
        <v>0</v>
      </c>
      <c r="FA59" s="12">
        <v>0</v>
      </c>
      <c r="FB59" s="12">
        <v>0</v>
      </c>
      <c r="FC59" s="35">
        <v>0</v>
      </c>
      <c r="FD59" s="35">
        <v>0</v>
      </c>
      <c r="FE59" s="35">
        <v>0</v>
      </c>
      <c r="FF59" s="35">
        <v>2</v>
      </c>
      <c r="FG59" s="35">
        <v>8</v>
      </c>
      <c r="FH59" s="35">
        <v>6</v>
      </c>
      <c r="FI59" s="35">
        <v>0</v>
      </c>
      <c r="FJ59" s="35">
        <v>0</v>
      </c>
      <c r="FK59" s="35" t="e">
        <f>VLOOKUP(H59,#REF!,2,)</f>
        <v>#REF!</v>
      </c>
      <c r="FL59" s="35">
        <v>0</v>
      </c>
      <c r="FM59" s="16" t="e">
        <f t="shared" si="3"/>
        <v>#REF!</v>
      </c>
      <c r="FN59" s="16" t="e">
        <f t="shared" si="8"/>
        <v>#REF!</v>
      </c>
      <c r="FO59" s="44" t="e">
        <f t="shared" si="4"/>
        <v>#REF!</v>
      </c>
      <c r="FP59" s="10" t="s">
        <v>108</v>
      </c>
      <c r="FR59" s="74">
        <f>EH59*F59</f>
        <v>0</v>
      </c>
    </row>
    <row r="60" spans="1:184" s="10" customFormat="1" hidden="1">
      <c r="A60" s="12">
        <v>57</v>
      </c>
      <c r="B60" s="13" t="s">
        <v>22</v>
      </c>
      <c r="C60" s="13" t="s">
        <v>81</v>
      </c>
      <c r="D60" s="14">
        <v>1</v>
      </c>
      <c r="E60" s="14" t="s">
        <v>24</v>
      </c>
      <c r="F60" s="14">
        <v>200</v>
      </c>
      <c r="G60" s="14" t="s">
        <v>25</v>
      </c>
      <c r="H60" s="15">
        <v>692099</v>
      </c>
      <c r="I60" s="15" t="s">
        <v>28</v>
      </c>
      <c r="J60" s="16">
        <v>0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4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0</v>
      </c>
      <c r="CV60" s="34">
        <v>0</v>
      </c>
      <c r="CW60" s="34">
        <v>0</v>
      </c>
      <c r="CX60" s="34">
        <v>0</v>
      </c>
      <c r="CY60" s="34">
        <v>0</v>
      </c>
      <c r="CZ60" s="34">
        <v>0</v>
      </c>
      <c r="DA60" s="34">
        <v>0</v>
      </c>
      <c r="DB60" s="34">
        <v>0</v>
      </c>
      <c r="DC60" s="34">
        <v>0</v>
      </c>
      <c r="DD60" s="34">
        <v>0</v>
      </c>
      <c r="DE60" s="34">
        <v>0</v>
      </c>
      <c r="DF60" s="34">
        <v>0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0</v>
      </c>
      <c r="DO60" s="34">
        <v>0</v>
      </c>
      <c r="DP60" s="34">
        <v>0</v>
      </c>
      <c r="DQ60" s="34">
        <v>0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6</v>
      </c>
      <c r="EB60" s="34">
        <v>0</v>
      </c>
      <c r="EC60" s="34">
        <v>0</v>
      </c>
      <c r="ED60" s="17">
        <f t="shared" si="2"/>
        <v>1.5</v>
      </c>
      <c r="EE60" s="17">
        <f t="shared" si="9"/>
        <v>-1.5</v>
      </c>
      <c r="EF60" s="16">
        <f t="shared" si="5"/>
        <v>4.5</v>
      </c>
      <c r="EG60" s="18"/>
      <c r="EH60" s="12">
        <v>0</v>
      </c>
      <c r="EI60" s="80"/>
      <c r="EJ60" s="10" t="s">
        <v>423</v>
      </c>
      <c r="EK60" s="12"/>
      <c r="EL60" s="12"/>
      <c r="EM60" s="12"/>
      <c r="EN60" s="12"/>
      <c r="EO60" s="12"/>
      <c r="EP60" s="12"/>
      <c r="EQ60" s="12">
        <v>0</v>
      </c>
      <c r="ER60" s="12"/>
      <c r="ES60" s="12"/>
      <c r="ET60" s="12">
        <v>0</v>
      </c>
      <c r="EU60" s="12"/>
      <c r="EV60" s="12">
        <v>0</v>
      </c>
      <c r="EW60" s="12">
        <v>0</v>
      </c>
      <c r="EX60" s="12">
        <v>0</v>
      </c>
      <c r="EY60" s="12">
        <v>0</v>
      </c>
      <c r="EZ60" s="12">
        <v>0</v>
      </c>
      <c r="FA60" s="12">
        <v>0</v>
      </c>
      <c r="FB60" s="12">
        <v>0</v>
      </c>
      <c r="FC60" s="35">
        <v>0</v>
      </c>
      <c r="FD60" s="35">
        <v>0</v>
      </c>
      <c r="FE60" s="35">
        <v>0</v>
      </c>
      <c r="FF60" s="35">
        <v>0</v>
      </c>
      <c r="FG60" s="35">
        <v>0</v>
      </c>
      <c r="FH60" s="35">
        <v>0</v>
      </c>
      <c r="FI60" s="35">
        <v>0</v>
      </c>
      <c r="FJ60" s="35">
        <v>0</v>
      </c>
      <c r="FK60" s="35" t="e">
        <f>VLOOKUP(H60,#REF!,2,)</f>
        <v>#REF!</v>
      </c>
      <c r="FL60" s="35">
        <v>0</v>
      </c>
      <c r="FM60" s="16" t="e">
        <f t="shared" si="3"/>
        <v>#REF!</v>
      </c>
      <c r="FN60" s="16" t="e">
        <f t="shared" si="8"/>
        <v>#REF!</v>
      </c>
      <c r="FO60" s="44" t="e">
        <f t="shared" si="4"/>
        <v>#REF!</v>
      </c>
      <c r="FR60" s="74">
        <f>EH60*F60</f>
        <v>0</v>
      </c>
    </row>
    <row r="61" spans="1:184" s="10" customFormat="1" hidden="1">
      <c r="A61" s="12">
        <v>58</v>
      </c>
      <c r="B61" s="13" t="s">
        <v>22</v>
      </c>
      <c r="C61" s="13" t="s">
        <v>82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795876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1.8399999999999999</v>
      </c>
      <c r="AL61" s="16">
        <v>0.84</v>
      </c>
      <c r="AM61" s="34">
        <v>0</v>
      </c>
      <c r="AN61" s="34">
        <v>0</v>
      </c>
      <c r="AO61" s="34">
        <v>0</v>
      </c>
      <c r="AP61" s="34">
        <v>0.56000000000000005</v>
      </c>
      <c r="AQ61" s="34">
        <v>0.2</v>
      </c>
      <c r="AR61" s="34">
        <v>0</v>
      </c>
      <c r="AS61" s="34">
        <v>0</v>
      </c>
      <c r="AT61" s="34">
        <v>2.09</v>
      </c>
      <c r="AU61" s="34">
        <v>0.34</v>
      </c>
      <c r="AV61" s="34">
        <v>0.8075</v>
      </c>
      <c r="AW61" s="34">
        <v>4.8812499999999996</v>
      </c>
      <c r="AX61" s="34">
        <v>0</v>
      </c>
      <c r="AY61" s="34">
        <v>0</v>
      </c>
      <c r="AZ61" s="34">
        <v>0.52500000000000002</v>
      </c>
      <c r="BA61" s="34">
        <v>0.1</v>
      </c>
      <c r="BB61" s="34">
        <v>0.12</v>
      </c>
      <c r="BC61" s="34">
        <v>0</v>
      </c>
      <c r="BD61" s="34">
        <v>0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1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0</v>
      </c>
      <c r="EB61" s="34">
        <v>0</v>
      </c>
      <c r="EC61" s="34">
        <v>0</v>
      </c>
      <c r="ED61" s="17">
        <f t="shared" si="2"/>
        <v>0</v>
      </c>
      <c r="EE61" s="17">
        <f t="shared" si="9"/>
        <v>0</v>
      </c>
      <c r="EF61" s="16">
        <f t="shared" si="5"/>
        <v>0</v>
      </c>
      <c r="EG61" s="18"/>
      <c r="EH61" s="12">
        <v>0</v>
      </c>
      <c r="EI61" s="80"/>
      <c r="EJ61" s="10" t="s">
        <v>93</v>
      </c>
      <c r="EK61" s="12"/>
      <c r="EL61" s="12"/>
      <c r="EM61" s="12"/>
      <c r="EN61" s="12"/>
      <c r="EO61" s="12"/>
      <c r="EP61" s="12"/>
      <c r="EQ61" s="12">
        <v>0</v>
      </c>
      <c r="ER61" s="12"/>
      <c r="ES61" s="12"/>
      <c r="ET61" s="12">
        <v>0</v>
      </c>
      <c r="EU61" s="12"/>
      <c r="EV61" s="12">
        <v>0</v>
      </c>
      <c r="EW61" s="12">
        <v>0</v>
      </c>
      <c r="EX61" s="12">
        <v>0</v>
      </c>
      <c r="EY61" s="12">
        <v>0</v>
      </c>
      <c r="EZ61" s="12">
        <v>0</v>
      </c>
      <c r="FA61" s="12">
        <v>5</v>
      </c>
      <c r="FB61" s="12">
        <v>0</v>
      </c>
      <c r="FC61" s="35">
        <v>0</v>
      </c>
      <c r="FD61" s="35">
        <v>1</v>
      </c>
      <c r="FE61" s="35">
        <v>0</v>
      </c>
      <c r="FF61" s="35">
        <v>0</v>
      </c>
      <c r="FG61" s="35">
        <v>2</v>
      </c>
      <c r="FH61" s="35">
        <v>0</v>
      </c>
      <c r="FI61" s="35">
        <v>0</v>
      </c>
      <c r="FJ61" s="35">
        <v>1</v>
      </c>
      <c r="FK61" s="35" t="e">
        <f>VLOOKUP(H61,#REF!,2,)</f>
        <v>#REF!</v>
      </c>
      <c r="FL61" s="35">
        <v>0</v>
      </c>
      <c r="FM61" s="16" t="e">
        <f t="shared" si="3"/>
        <v>#REF!</v>
      </c>
      <c r="FN61" s="16" t="e">
        <f t="shared" si="8"/>
        <v>#REF!</v>
      </c>
      <c r="FO61" s="44" t="e">
        <f t="shared" si="4"/>
        <v>#REF!</v>
      </c>
      <c r="FR61" s="74">
        <f>EH61*F61</f>
        <v>0</v>
      </c>
    </row>
    <row r="62" spans="1:184" s="10" customFormat="1" hidden="1">
      <c r="A62" s="12">
        <v>59</v>
      </c>
      <c r="B62" s="13" t="s">
        <v>22</v>
      </c>
      <c r="C62" s="13" t="s">
        <v>70</v>
      </c>
      <c r="D62" s="14">
        <v>3</v>
      </c>
      <c r="E62" s="14" t="s">
        <v>24</v>
      </c>
      <c r="F62" s="19">
        <v>1</v>
      </c>
      <c r="G62" s="14" t="s">
        <v>69</v>
      </c>
      <c r="H62" s="15">
        <v>773775</v>
      </c>
      <c r="I62" s="15" t="s">
        <v>26</v>
      </c>
      <c r="J62" s="16">
        <v>3</v>
      </c>
      <c r="K62" s="20"/>
      <c r="L62" s="20"/>
      <c r="M62" s="20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/>
      <c r="AJ62" s="16">
        <v>0</v>
      </c>
      <c r="AK62" s="16">
        <v>0</v>
      </c>
      <c r="AL62" s="16">
        <v>0</v>
      </c>
      <c r="AM62" s="34">
        <v>0</v>
      </c>
      <c r="AN62" s="34">
        <v>0</v>
      </c>
      <c r="AO62" s="34">
        <v>0</v>
      </c>
      <c r="AP62" s="34">
        <v>0</v>
      </c>
      <c r="AQ62" s="34">
        <v>59</v>
      </c>
      <c r="AR62" s="34">
        <v>347</v>
      </c>
      <c r="AS62" s="34">
        <v>291</v>
      </c>
      <c r="AT62" s="34">
        <v>297</v>
      </c>
      <c r="AU62" s="34">
        <v>95</v>
      </c>
      <c r="AV62" s="34">
        <v>45</v>
      </c>
      <c r="AW62" s="34">
        <v>201</v>
      </c>
      <c r="AX62" s="34">
        <v>372</v>
      </c>
      <c r="AY62" s="34">
        <v>202</v>
      </c>
      <c r="AZ62" s="34">
        <v>374</v>
      </c>
      <c r="BA62" s="34">
        <v>274</v>
      </c>
      <c r="BB62" s="34">
        <v>385</v>
      </c>
      <c r="BC62" s="34">
        <v>296</v>
      </c>
      <c r="BD62" s="34">
        <v>943</v>
      </c>
      <c r="BE62" s="34">
        <v>282</v>
      </c>
      <c r="BF62" s="34">
        <v>265</v>
      </c>
      <c r="BG62" s="34">
        <v>364</v>
      </c>
      <c r="BH62" s="34">
        <v>462</v>
      </c>
      <c r="BI62" s="34">
        <v>307</v>
      </c>
      <c r="BJ62" s="34">
        <v>193</v>
      </c>
      <c r="BK62" s="34">
        <v>441</v>
      </c>
      <c r="BL62" s="34">
        <v>291</v>
      </c>
      <c r="BM62" s="34">
        <v>387</v>
      </c>
      <c r="BN62" s="34">
        <v>340</v>
      </c>
      <c r="BO62" s="34">
        <v>345</v>
      </c>
      <c r="BP62" s="34">
        <v>292</v>
      </c>
      <c r="BQ62" s="34">
        <v>412</v>
      </c>
      <c r="BR62" s="34">
        <v>275</v>
      </c>
      <c r="BS62" s="34">
        <v>222</v>
      </c>
      <c r="BT62" s="34">
        <v>387</v>
      </c>
      <c r="BU62" s="34">
        <v>299</v>
      </c>
      <c r="BV62" s="34">
        <v>265</v>
      </c>
      <c r="BW62" s="34">
        <v>385</v>
      </c>
      <c r="BX62" s="34">
        <v>244</v>
      </c>
      <c r="BY62" s="34">
        <v>347</v>
      </c>
      <c r="BZ62" s="34">
        <v>280</v>
      </c>
      <c r="CA62" s="34">
        <v>429</v>
      </c>
      <c r="CB62" s="34">
        <v>303</v>
      </c>
      <c r="CC62" s="34">
        <v>321</v>
      </c>
      <c r="CD62" s="34">
        <v>331</v>
      </c>
      <c r="CE62" s="34">
        <v>57</v>
      </c>
      <c r="CF62" s="34">
        <v>215</v>
      </c>
      <c r="CG62" s="34">
        <v>286</v>
      </c>
      <c r="CH62" s="34">
        <v>299</v>
      </c>
      <c r="CI62" s="34">
        <v>383</v>
      </c>
      <c r="CJ62" s="34">
        <v>188</v>
      </c>
      <c r="CK62" s="34">
        <v>121</v>
      </c>
      <c r="CL62" s="34">
        <v>189</v>
      </c>
      <c r="CM62" s="34">
        <v>199</v>
      </c>
      <c r="CN62" s="34">
        <v>239</v>
      </c>
      <c r="CO62" s="34">
        <v>168</v>
      </c>
      <c r="CP62" s="34">
        <v>111</v>
      </c>
      <c r="CQ62" s="34">
        <v>266</v>
      </c>
      <c r="CR62" s="34">
        <v>160</v>
      </c>
      <c r="CS62" s="34">
        <v>287</v>
      </c>
      <c r="CT62" s="34">
        <v>59</v>
      </c>
      <c r="CU62" s="34">
        <v>111</v>
      </c>
      <c r="CV62" s="34">
        <v>65</v>
      </c>
      <c r="CW62" s="34">
        <v>2</v>
      </c>
      <c r="CX62" s="34">
        <v>8</v>
      </c>
      <c r="CY62" s="34">
        <v>14</v>
      </c>
      <c r="CZ62" s="34">
        <v>11</v>
      </c>
      <c r="DA62" s="34">
        <v>14</v>
      </c>
      <c r="DB62" s="34">
        <v>10</v>
      </c>
      <c r="DC62" s="34">
        <v>2</v>
      </c>
      <c r="DD62" s="34">
        <v>0</v>
      </c>
      <c r="DE62" s="34">
        <v>7</v>
      </c>
      <c r="DF62" s="34">
        <v>0</v>
      </c>
      <c r="DG62" s="34">
        <v>1</v>
      </c>
      <c r="DH62" s="34">
        <v>1</v>
      </c>
      <c r="DI62" s="34">
        <v>6</v>
      </c>
      <c r="DJ62" s="34">
        <v>3</v>
      </c>
      <c r="DK62" s="34">
        <v>0</v>
      </c>
      <c r="DL62" s="34">
        <v>0</v>
      </c>
      <c r="DM62" s="34">
        <v>1</v>
      </c>
      <c r="DN62" s="34">
        <v>0</v>
      </c>
      <c r="DO62" s="34">
        <v>0</v>
      </c>
      <c r="DP62" s="34">
        <v>1</v>
      </c>
      <c r="DQ62" s="34">
        <v>0</v>
      </c>
      <c r="DR62" s="34">
        <v>0</v>
      </c>
      <c r="DS62" s="34">
        <v>0</v>
      </c>
      <c r="DT62" s="34">
        <v>0</v>
      </c>
      <c r="DU62" s="34">
        <v>8</v>
      </c>
      <c r="DV62" s="34">
        <v>0</v>
      </c>
      <c r="DW62" s="34">
        <v>0</v>
      </c>
      <c r="DX62" s="34">
        <v>3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17">
        <f t="shared" si="2"/>
        <v>0</v>
      </c>
      <c r="EE62" s="17">
        <f t="shared" si="9"/>
        <v>3</v>
      </c>
      <c r="EF62" s="16">
        <f>(ED62*4)-EE62</f>
        <v>-3</v>
      </c>
      <c r="EG62" s="18"/>
      <c r="EH62" s="12">
        <v>0</v>
      </c>
      <c r="EI62" s="80">
        <f>EH62*1</f>
        <v>0</v>
      </c>
      <c r="EJ62" s="10" t="s">
        <v>125</v>
      </c>
      <c r="EK62" s="12"/>
      <c r="EL62" s="12"/>
      <c r="EM62" s="12"/>
      <c r="EN62" s="12"/>
      <c r="EO62" s="12"/>
      <c r="EP62" s="12"/>
      <c r="EQ62" s="12">
        <v>0</v>
      </c>
      <c r="ER62" s="12"/>
      <c r="ES62" s="12"/>
      <c r="ET62" s="12">
        <v>0</v>
      </c>
      <c r="EU62" s="12"/>
      <c r="EV62" s="12">
        <v>0</v>
      </c>
      <c r="EW62" s="12">
        <v>0</v>
      </c>
      <c r="EX62" s="12">
        <v>0</v>
      </c>
      <c r="EY62" s="12">
        <v>0</v>
      </c>
      <c r="EZ62" s="12">
        <v>0</v>
      </c>
      <c r="FA62" s="12">
        <v>0</v>
      </c>
      <c r="FB62" s="12">
        <v>0</v>
      </c>
      <c r="FC62" s="35">
        <v>0</v>
      </c>
      <c r="FD62" s="35">
        <v>0</v>
      </c>
      <c r="FE62" s="35">
        <v>0</v>
      </c>
      <c r="FF62" s="35">
        <v>0</v>
      </c>
      <c r="FG62" s="35">
        <v>121</v>
      </c>
      <c r="FH62" s="35">
        <v>617</v>
      </c>
      <c r="FI62" s="35">
        <v>328</v>
      </c>
      <c r="FJ62" s="35">
        <v>117</v>
      </c>
      <c r="FK62" s="35" t="e">
        <f>VLOOKUP(H62,#REF!,2,)</f>
        <v>#REF!</v>
      </c>
      <c r="FL62" s="35">
        <v>20</v>
      </c>
      <c r="FM62" s="16" t="e">
        <f t="shared" si="3"/>
        <v>#REF!</v>
      </c>
      <c r="FN62" s="16" t="e">
        <f t="shared" si="8"/>
        <v>#REF!</v>
      </c>
      <c r="FO62" s="44" t="e">
        <f>(FM62*3)-FN62</f>
        <v>#REF!</v>
      </c>
      <c r="FP62" s="10" t="s">
        <v>94</v>
      </c>
      <c r="FR62" s="10">
        <f>EH62*3.785</f>
        <v>0</v>
      </c>
      <c r="FT62" s="10">
        <f>78*2</f>
        <v>156</v>
      </c>
      <c r="GB62" s="10">
        <f>78</f>
        <v>78</v>
      </c>
    </row>
    <row r="63" spans="1:184" s="10" customFormat="1" hidden="1">
      <c r="A63" s="12">
        <v>60</v>
      </c>
      <c r="B63" s="13" t="s">
        <v>22</v>
      </c>
      <c r="C63" s="14" t="s">
        <v>84</v>
      </c>
      <c r="D63" s="15">
        <v>1</v>
      </c>
      <c r="E63" s="15" t="s">
        <v>85</v>
      </c>
      <c r="F63" s="15">
        <v>18</v>
      </c>
      <c r="G63" s="15" t="s">
        <v>86</v>
      </c>
      <c r="H63" s="15">
        <v>692131</v>
      </c>
      <c r="I63" s="15" t="s">
        <v>29</v>
      </c>
      <c r="J63" s="16">
        <v>0</v>
      </c>
      <c r="K63" s="85"/>
      <c r="L63" s="85"/>
      <c r="M63" s="85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6">
        <v>10</v>
      </c>
      <c r="AD63" s="16">
        <v>0</v>
      </c>
      <c r="AE63" s="16">
        <v>2</v>
      </c>
      <c r="AF63" s="16">
        <v>0</v>
      </c>
      <c r="AG63" s="16">
        <v>3</v>
      </c>
      <c r="AH63" s="16">
        <v>13</v>
      </c>
      <c r="AI63" s="16">
        <v>5</v>
      </c>
      <c r="AJ63" s="16">
        <v>22</v>
      </c>
      <c r="AK63" s="16">
        <v>17</v>
      </c>
      <c r="AL63" s="16">
        <v>14</v>
      </c>
      <c r="AM63" s="34">
        <v>20</v>
      </c>
      <c r="AN63" s="34">
        <v>17</v>
      </c>
      <c r="AO63" s="34">
        <v>4</v>
      </c>
      <c r="AP63" s="34">
        <v>6</v>
      </c>
      <c r="AQ63" s="34">
        <v>16</v>
      </c>
      <c r="AR63" s="34">
        <v>17</v>
      </c>
      <c r="AS63" s="34">
        <v>3</v>
      </c>
      <c r="AT63" s="34">
        <v>9</v>
      </c>
      <c r="AU63" s="34">
        <v>3</v>
      </c>
      <c r="AV63" s="34">
        <v>4</v>
      </c>
      <c r="AW63" s="34">
        <v>13</v>
      </c>
      <c r="AX63" s="34">
        <v>2</v>
      </c>
      <c r="AY63" s="34">
        <v>5</v>
      </c>
      <c r="AZ63" s="34">
        <v>8</v>
      </c>
      <c r="BA63" s="34">
        <v>6</v>
      </c>
      <c r="BB63" s="34">
        <v>8</v>
      </c>
      <c r="BC63" s="34">
        <v>13</v>
      </c>
      <c r="BD63" s="34">
        <v>7</v>
      </c>
      <c r="BE63" s="34">
        <v>1</v>
      </c>
      <c r="BF63" s="34">
        <v>3</v>
      </c>
      <c r="BG63" s="34">
        <v>2</v>
      </c>
      <c r="BH63" s="34">
        <v>4</v>
      </c>
      <c r="BI63" s="34">
        <v>19</v>
      </c>
      <c r="BJ63" s="34">
        <v>0</v>
      </c>
      <c r="BK63" s="34">
        <v>0</v>
      </c>
      <c r="BL63" s="34">
        <v>0</v>
      </c>
      <c r="BM63" s="34">
        <v>0</v>
      </c>
      <c r="BN63" s="34">
        <v>0</v>
      </c>
      <c r="BO63" s="34">
        <v>0</v>
      </c>
      <c r="BP63" s="34">
        <v>0</v>
      </c>
      <c r="BQ63" s="34">
        <v>0</v>
      </c>
      <c r="BR63" s="34">
        <v>0</v>
      </c>
      <c r="BS63" s="34">
        <v>0</v>
      </c>
      <c r="BT63" s="34">
        <v>0</v>
      </c>
      <c r="BU63" s="34">
        <v>0</v>
      </c>
      <c r="BV63" s="34">
        <v>0</v>
      </c>
      <c r="BW63" s="34">
        <v>0</v>
      </c>
      <c r="BX63" s="34">
        <v>0</v>
      </c>
      <c r="BY63" s="34">
        <v>0</v>
      </c>
      <c r="BZ63" s="34">
        <v>0</v>
      </c>
      <c r="CA63" s="34">
        <v>0</v>
      </c>
      <c r="CB63" s="34">
        <v>0</v>
      </c>
      <c r="CC63" s="34">
        <v>0</v>
      </c>
      <c r="CD63" s="34">
        <v>0</v>
      </c>
      <c r="CE63" s="34">
        <v>0</v>
      </c>
      <c r="CF63" s="34">
        <v>0</v>
      </c>
      <c r="CG63" s="34">
        <v>0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</v>
      </c>
      <c r="CS63" s="34">
        <v>0</v>
      </c>
      <c r="CT63" s="34">
        <v>0</v>
      </c>
      <c r="CU63" s="34">
        <v>0</v>
      </c>
      <c r="CV63" s="34">
        <v>0</v>
      </c>
      <c r="CW63" s="34">
        <v>0</v>
      </c>
      <c r="CX63" s="34">
        <v>0</v>
      </c>
      <c r="CY63" s="34">
        <v>0</v>
      </c>
      <c r="CZ63" s="34">
        <v>0</v>
      </c>
      <c r="DA63" s="34">
        <v>0</v>
      </c>
      <c r="DB63" s="34">
        <v>0</v>
      </c>
      <c r="DC63" s="34">
        <v>0</v>
      </c>
      <c r="DD63" s="34">
        <v>0</v>
      </c>
      <c r="DE63" s="34">
        <v>0</v>
      </c>
      <c r="DF63" s="34">
        <v>0</v>
      </c>
      <c r="DG63" s="34">
        <v>0</v>
      </c>
      <c r="DH63" s="34">
        <v>0</v>
      </c>
      <c r="DI63" s="34">
        <v>0</v>
      </c>
      <c r="DJ63" s="34">
        <v>0</v>
      </c>
      <c r="DK63" s="34">
        <v>0</v>
      </c>
      <c r="DL63" s="34">
        <v>0</v>
      </c>
      <c r="DM63" s="34">
        <v>0</v>
      </c>
      <c r="DN63" s="34">
        <v>0</v>
      </c>
      <c r="DO63" s="34">
        <v>0</v>
      </c>
      <c r="DP63" s="34">
        <v>0</v>
      </c>
      <c r="DQ63" s="34">
        <v>0</v>
      </c>
      <c r="DR63" s="34">
        <v>0</v>
      </c>
      <c r="DS63" s="34">
        <v>0</v>
      </c>
      <c r="DT63" s="34">
        <v>0</v>
      </c>
      <c r="DU63" s="34">
        <v>0</v>
      </c>
      <c r="DV63" s="34">
        <v>0</v>
      </c>
      <c r="DW63" s="34">
        <v>0</v>
      </c>
      <c r="DX63" s="34">
        <v>0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17">
        <f t="shared" si="2"/>
        <v>0</v>
      </c>
      <c r="EE63" s="17">
        <f t="shared" si="9"/>
        <v>0</v>
      </c>
      <c r="EF63" s="16">
        <f t="shared" si="5"/>
        <v>0</v>
      </c>
      <c r="EG63" s="18"/>
      <c r="EH63" s="12">
        <v>0</v>
      </c>
      <c r="EI63" s="80"/>
      <c r="EJ63" s="10" t="s">
        <v>412</v>
      </c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>
        <v>13</v>
      </c>
      <c r="EV63" s="12">
        <v>5</v>
      </c>
      <c r="EW63" s="12">
        <v>3</v>
      </c>
      <c r="EX63" s="12">
        <v>10</v>
      </c>
      <c r="EY63" s="12">
        <v>0</v>
      </c>
      <c r="EZ63" s="12">
        <v>0</v>
      </c>
      <c r="FA63" s="12">
        <v>16</v>
      </c>
      <c r="FB63" s="12">
        <v>5</v>
      </c>
      <c r="FC63" s="35">
        <v>22</v>
      </c>
      <c r="FD63" s="35">
        <v>10</v>
      </c>
      <c r="FE63" s="35">
        <v>0</v>
      </c>
      <c r="FF63" s="35">
        <v>21</v>
      </c>
      <c r="FG63" s="35">
        <v>18</v>
      </c>
      <c r="FH63" s="35">
        <v>20</v>
      </c>
      <c r="FI63" s="35">
        <v>0</v>
      </c>
      <c r="FJ63" s="35">
        <v>10</v>
      </c>
      <c r="FK63" s="35" t="e">
        <f>VLOOKUP(H63,#REF!,2,)</f>
        <v>#REF!</v>
      </c>
      <c r="FL63" s="35">
        <v>1</v>
      </c>
      <c r="FM63" s="16" t="e">
        <f t="shared" si="3"/>
        <v>#REF!</v>
      </c>
      <c r="FN63" s="16" t="e">
        <f t="shared" si="8"/>
        <v>#REF!</v>
      </c>
      <c r="FO63" s="44" t="e">
        <f t="shared" si="4"/>
        <v>#REF!</v>
      </c>
      <c r="FR63" s="74">
        <f t="shared" ref="FR63:FR99" si="13">EH63*F63</f>
        <v>0</v>
      </c>
    </row>
    <row r="64" spans="1:184" s="10" customFormat="1" hidden="1">
      <c r="A64" s="12">
        <v>61</v>
      </c>
      <c r="B64" s="13" t="s">
        <v>22</v>
      </c>
      <c r="C64" s="12" t="s">
        <v>87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692179</v>
      </c>
      <c r="I64" s="15" t="s">
        <v>29</v>
      </c>
      <c r="J64" s="16">
        <v>0</v>
      </c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0</v>
      </c>
      <c r="AD64" s="16">
        <v>0</v>
      </c>
      <c r="AE64" s="16"/>
      <c r="AF64" s="16">
        <v>0</v>
      </c>
      <c r="AG64" s="16">
        <v>0</v>
      </c>
      <c r="AH64" s="16">
        <v>0</v>
      </c>
      <c r="AI64" s="16">
        <v>0</v>
      </c>
      <c r="AJ64" s="16">
        <v>5</v>
      </c>
      <c r="AK64" s="16">
        <v>0</v>
      </c>
      <c r="AL64" s="16">
        <v>0</v>
      </c>
      <c r="AM64" s="34">
        <v>0</v>
      </c>
      <c r="AN64" s="34">
        <v>0</v>
      </c>
      <c r="AO64" s="34">
        <v>0</v>
      </c>
      <c r="AP64" s="34">
        <v>6</v>
      </c>
      <c r="AQ64" s="34">
        <v>1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17">
        <f t="shared" si="2"/>
        <v>0</v>
      </c>
      <c r="EE64" s="17">
        <f t="shared" si="9"/>
        <v>0</v>
      </c>
      <c r="EF64" s="16">
        <f t="shared" si="5"/>
        <v>0</v>
      </c>
      <c r="EG64" s="18"/>
      <c r="EH64" s="12">
        <v>0</v>
      </c>
      <c r="EI64" s="80"/>
      <c r="EJ64" s="10" t="s">
        <v>422</v>
      </c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>
        <v>0</v>
      </c>
      <c r="EW64" s="12">
        <v>0</v>
      </c>
      <c r="EX64" s="12">
        <v>0</v>
      </c>
      <c r="EY64" s="12">
        <v>0</v>
      </c>
      <c r="EZ64" s="12">
        <v>0</v>
      </c>
      <c r="FA64" s="12">
        <v>0</v>
      </c>
      <c r="FB64" s="12">
        <v>0</v>
      </c>
      <c r="FC64" s="35">
        <v>0</v>
      </c>
      <c r="FD64" s="35">
        <v>0</v>
      </c>
      <c r="FE64" s="35">
        <v>0</v>
      </c>
      <c r="FF64" s="35">
        <v>0</v>
      </c>
      <c r="FG64" s="35">
        <v>0</v>
      </c>
      <c r="FH64" s="35">
        <v>0</v>
      </c>
      <c r="FI64" s="35">
        <v>0</v>
      </c>
      <c r="FJ64" s="35">
        <v>0</v>
      </c>
      <c r="FK64" s="35" t="e">
        <f>VLOOKUP(H64,#REF!,2,)</f>
        <v>#REF!</v>
      </c>
      <c r="FL64" s="35">
        <v>0</v>
      </c>
      <c r="FM64" s="16" t="e">
        <f t="shared" si="3"/>
        <v>#REF!</v>
      </c>
      <c r="FN64" s="16" t="e">
        <f t="shared" si="8"/>
        <v>#REF!</v>
      </c>
      <c r="FO64" s="44" t="e">
        <f t="shared" si="4"/>
        <v>#REF!</v>
      </c>
      <c r="FR64" s="74">
        <f t="shared" si="13"/>
        <v>0</v>
      </c>
    </row>
    <row r="65" spans="1:180" s="10" customFormat="1" hidden="1">
      <c r="A65" s="12">
        <v>62</v>
      </c>
      <c r="B65" s="13" t="s">
        <v>22</v>
      </c>
      <c r="C65" s="12" t="s">
        <v>107</v>
      </c>
      <c r="D65" s="15">
        <v>4</v>
      </c>
      <c r="E65" s="15" t="s">
        <v>24</v>
      </c>
      <c r="F65" s="15">
        <v>4</v>
      </c>
      <c r="G65" s="15" t="s">
        <v>25</v>
      </c>
      <c r="H65" s="15">
        <v>869291</v>
      </c>
      <c r="I65" s="15" t="s">
        <v>26</v>
      </c>
      <c r="J65" s="16">
        <v>1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/>
      <c r="AD65" s="16"/>
      <c r="AE65" s="16"/>
      <c r="AF65" s="16"/>
      <c r="AG65" s="16"/>
      <c r="AH65" s="16"/>
      <c r="AI65" s="16"/>
      <c r="AJ65" s="16"/>
      <c r="AK65" s="16"/>
      <c r="AL65" s="16">
        <v>0</v>
      </c>
      <c r="AM65" s="34">
        <v>0</v>
      </c>
      <c r="AN65" s="34">
        <v>0</v>
      </c>
      <c r="AO65" s="34">
        <v>0</v>
      </c>
      <c r="AP65" s="34">
        <v>22</v>
      </c>
      <c r="AQ65" s="34">
        <v>14</v>
      </c>
      <c r="AR65" s="34">
        <v>10</v>
      </c>
      <c r="AS65" s="34">
        <v>32</v>
      </c>
      <c r="AT65" s="34">
        <v>3</v>
      </c>
      <c r="AU65" s="34">
        <v>0</v>
      </c>
      <c r="AV65" s="34">
        <v>0</v>
      </c>
      <c r="AW65" s="34">
        <v>8</v>
      </c>
      <c r="AX65" s="34">
        <v>5</v>
      </c>
      <c r="AY65" s="34">
        <v>21</v>
      </c>
      <c r="AZ65" s="34">
        <v>31</v>
      </c>
      <c r="BA65" s="34">
        <v>14</v>
      </c>
      <c r="BB65" s="34">
        <v>8</v>
      </c>
      <c r="BC65" s="34">
        <v>7</v>
      </c>
      <c r="BD65" s="34">
        <v>30</v>
      </c>
      <c r="BE65" s="34">
        <v>20</v>
      </c>
      <c r="BF65" s="34">
        <v>13</v>
      </c>
      <c r="BG65" s="34">
        <v>18</v>
      </c>
      <c r="BH65" s="34">
        <v>10</v>
      </c>
      <c r="BI65" s="34">
        <v>7</v>
      </c>
      <c r="BJ65" s="34">
        <v>37</v>
      </c>
      <c r="BK65" s="34">
        <v>6</v>
      </c>
      <c r="BL65" s="34">
        <v>4</v>
      </c>
      <c r="BM65" s="34">
        <v>4</v>
      </c>
      <c r="BN65" s="34">
        <v>2</v>
      </c>
      <c r="BO65" s="34">
        <v>4</v>
      </c>
      <c r="BP65" s="34">
        <v>0</v>
      </c>
      <c r="BQ65" s="34">
        <v>2</v>
      </c>
      <c r="BR65" s="34">
        <v>4</v>
      </c>
      <c r="BS65" s="34">
        <v>7</v>
      </c>
      <c r="BT65" s="34">
        <v>0</v>
      </c>
      <c r="BU65" s="34">
        <v>0</v>
      </c>
      <c r="BV65" s="34">
        <v>3</v>
      </c>
      <c r="BW65" s="34">
        <v>0</v>
      </c>
      <c r="BX65" s="34">
        <v>0</v>
      </c>
      <c r="BY65" s="34">
        <v>4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4</v>
      </c>
      <c r="CJ65" s="34">
        <v>0</v>
      </c>
      <c r="CK65" s="34">
        <v>0</v>
      </c>
      <c r="CL65" s="34">
        <v>3</v>
      </c>
      <c r="CM65" s="34">
        <v>0</v>
      </c>
      <c r="CN65" s="34">
        <v>0</v>
      </c>
      <c r="CO65" s="34">
        <v>8</v>
      </c>
      <c r="CP65" s="34">
        <v>0</v>
      </c>
      <c r="CQ65" s="34">
        <v>8</v>
      </c>
      <c r="CR65" s="34">
        <v>0</v>
      </c>
      <c r="CS65" s="34">
        <v>12</v>
      </c>
      <c r="CT65" s="34">
        <v>0</v>
      </c>
      <c r="CU65" s="34">
        <v>3</v>
      </c>
      <c r="CV65" s="34">
        <v>0</v>
      </c>
      <c r="CW65" s="34">
        <v>4</v>
      </c>
      <c r="CX65" s="34">
        <v>4</v>
      </c>
      <c r="CY65" s="34">
        <v>8</v>
      </c>
      <c r="CZ65" s="34">
        <v>6</v>
      </c>
      <c r="DA65" s="34">
        <v>4</v>
      </c>
      <c r="DB65" s="34">
        <v>8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1</v>
      </c>
      <c r="DK65" s="34">
        <v>0</v>
      </c>
      <c r="DL65" s="34">
        <v>0</v>
      </c>
      <c r="DM65" s="34">
        <v>0</v>
      </c>
      <c r="DN65" s="34">
        <v>8</v>
      </c>
      <c r="DO65" s="34">
        <v>0</v>
      </c>
      <c r="DP65" s="34">
        <v>4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17">
        <f t="shared" si="2"/>
        <v>0</v>
      </c>
      <c r="EE65" s="17">
        <f t="shared" si="9"/>
        <v>1</v>
      </c>
      <c r="EF65" s="16">
        <f t="shared" ref="EF65" si="14">(ED65*3)-EE65</f>
        <v>-1</v>
      </c>
      <c r="EG65" s="18"/>
      <c r="EH65" s="12">
        <v>0</v>
      </c>
      <c r="EI65" s="80">
        <f>EH65*4</f>
        <v>0</v>
      </c>
      <c r="EJ65" s="10" t="s">
        <v>425</v>
      </c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>
        <v>0</v>
      </c>
      <c r="FC65" s="35">
        <v>0</v>
      </c>
      <c r="FD65" s="35">
        <v>0</v>
      </c>
      <c r="FE65" s="35">
        <v>12</v>
      </c>
      <c r="FF65" s="35">
        <v>53</v>
      </c>
      <c r="FG65" s="35">
        <v>17</v>
      </c>
      <c r="FH65" s="35">
        <v>8</v>
      </c>
      <c r="FI65" s="35">
        <v>40</v>
      </c>
      <c r="FJ65" s="35">
        <v>8</v>
      </c>
      <c r="FK65" s="35" t="e">
        <f>VLOOKUP(H65,#REF!,2,)</f>
        <v>#REF!</v>
      </c>
      <c r="FL65" s="35">
        <v>4</v>
      </c>
      <c r="FM65" s="16" t="e">
        <f t="shared" si="3"/>
        <v>#REF!</v>
      </c>
      <c r="FN65" s="16" t="e">
        <f t="shared" si="8"/>
        <v>#REF!</v>
      </c>
      <c r="FO65" s="44" t="e">
        <f t="shared" si="4"/>
        <v>#REF!</v>
      </c>
      <c r="FR65" s="74">
        <f t="shared" si="13"/>
        <v>0</v>
      </c>
    </row>
    <row r="66" spans="1:180" s="10" customFormat="1" hidden="1">
      <c r="A66" s="12">
        <v>63</v>
      </c>
      <c r="B66" s="13" t="s">
        <v>22</v>
      </c>
      <c r="C66" s="12" t="s">
        <v>109</v>
      </c>
      <c r="D66" s="15">
        <v>2</v>
      </c>
      <c r="E66" s="15" t="s">
        <v>24</v>
      </c>
      <c r="F66" s="15">
        <v>7</v>
      </c>
      <c r="G66" s="15" t="s">
        <v>25</v>
      </c>
      <c r="H66" s="15" t="s">
        <v>569</v>
      </c>
      <c r="I66" s="15" t="s">
        <v>26</v>
      </c>
      <c r="J66" s="16">
        <v>10</v>
      </c>
      <c r="K66" s="20">
        <f>60*2</f>
        <v>120</v>
      </c>
      <c r="L66" s="20">
        <f>60*2</f>
        <v>120</v>
      </c>
      <c r="M66" s="20">
        <f>120</f>
        <v>120</v>
      </c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34">
        <v>0</v>
      </c>
      <c r="AN66" s="34">
        <v>0</v>
      </c>
      <c r="AO66" s="34">
        <v>0</v>
      </c>
      <c r="AP66" s="34">
        <v>0</v>
      </c>
      <c r="AQ66" s="34">
        <v>5</v>
      </c>
      <c r="AR66" s="34">
        <v>5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6</v>
      </c>
      <c r="AZ66" s="34">
        <v>34</v>
      </c>
      <c r="BA66" s="34">
        <v>95</v>
      </c>
      <c r="BB66" s="34">
        <v>84</v>
      </c>
      <c r="BC66" s="34">
        <v>125</v>
      </c>
      <c r="BD66" s="34">
        <v>267</v>
      </c>
      <c r="BE66" s="34">
        <v>278</v>
      </c>
      <c r="BF66" s="34">
        <v>282</v>
      </c>
      <c r="BG66" s="34">
        <v>254</v>
      </c>
      <c r="BH66" s="34">
        <v>199</v>
      </c>
      <c r="BI66" s="34">
        <v>171</v>
      </c>
      <c r="BJ66" s="34">
        <v>106</v>
      </c>
      <c r="BK66" s="34">
        <v>117</v>
      </c>
      <c r="BL66" s="34">
        <v>143</v>
      </c>
      <c r="BM66" s="34">
        <v>127</v>
      </c>
      <c r="BN66" s="34">
        <v>179</v>
      </c>
      <c r="BO66" s="34">
        <v>373</v>
      </c>
      <c r="BP66" s="34">
        <v>221</v>
      </c>
      <c r="BQ66" s="34">
        <v>175</v>
      </c>
      <c r="BR66" s="34">
        <v>168</v>
      </c>
      <c r="BS66" s="34">
        <v>119</v>
      </c>
      <c r="BT66" s="34">
        <v>177</v>
      </c>
      <c r="BU66" s="34">
        <v>150</v>
      </c>
      <c r="BV66" s="34">
        <v>125</v>
      </c>
      <c r="BW66" s="34">
        <v>164</v>
      </c>
      <c r="BX66" s="34">
        <v>136</v>
      </c>
      <c r="BY66" s="34">
        <v>196</v>
      </c>
      <c r="BZ66" s="34">
        <v>151</v>
      </c>
      <c r="CA66" s="34">
        <v>251</v>
      </c>
      <c r="CB66" s="34">
        <v>190</v>
      </c>
      <c r="CC66" s="34">
        <v>149</v>
      </c>
      <c r="CD66" s="34">
        <v>143</v>
      </c>
      <c r="CE66" s="34">
        <v>48</v>
      </c>
      <c r="CF66" s="34">
        <v>153</v>
      </c>
      <c r="CG66" s="34">
        <v>153</v>
      </c>
      <c r="CH66" s="34">
        <v>124</v>
      </c>
      <c r="CI66" s="34">
        <v>119</v>
      </c>
      <c r="CJ66" s="34">
        <v>133</v>
      </c>
      <c r="CK66" s="34">
        <v>24</v>
      </c>
      <c r="CL66" s="34">
        <v>121</v>
      </c>
      <c r="CM66" s="34">
        <v>84</v>
      </c>
      <c r="CN66" s="34">
        <v>144</v>
      </c>
      <c r="CO66" s="34">
        <v>80</v>
      </c>
      <c r="CP66" s="34">
        <v>69</v>
      </c>
      <c r="CQ66" s="34">
        <v>107</v>
      </c>
      <c r="CR66" s="34">
        <v>63</v>
      </c>
      <c r="CS66" s="34">
        <v>24</v>
      </c>
      <c r="CT66" s="34">
        <v>20</v>
      </c>
      <c r="CU66" s="34">
        <v>18</v>
      </c>
      <c r="CV66" s="34">
        <v>35</v>
      </c>
      <c r="CW66" s="34">
        <v>14</v>
      </c>
      <c r="CX66" s="34">
        <v>35</v>
      </c>
      <c r="CY66" s="34">
        <v>126</v>
      </c>
      <c r="CZ66" s="34">
        <v>113</v>
      </c>
      <c r="DA66" s="34">
        <v>96</v>
      </c>
      <c r="DB66" s="34">
        <v>163</v>
      </c>
      <c r="DC66" s="34">
        <v>20</v>
      </c>
      <c r="DD66" s="34">
        <f>17</f>
        <v>17</v>
      </c>
      <c r="DE66" s="34">
        <f>9+100</f>
        <v>109</v>
      </c>
      <c r="DF66" s="34">
        <f>8+183</f>
        <v>191</v>
      </c>
      <c r="DG66" s="34">
        <f>8+37</f>
        <v>45</v>
      </c>
      <c r="DH66" s="34">
        <f>2+46</f>
        <v>48</v>
      </c>
      <c r="DI66" s="34">
        <f>4+85</f>
        <v>89</v>
      </c>
      <c r="DJ66" s="34">
        <f>29+1</f>
        <v>30</v>
      </c>
      <c r="DK66" s="34">
        <f>2+82</f>
        <v>84</v>
      </c>
      <c r="DL66" s="34">
        <f>2+99</f>
        <v>101</v>
      </c>
      <c r="DM66" s="34">
        <f>90</f>
        <v>90</v>
      </c>
      <c r="DN66" s="34">
        <f>1+53</f>
        <v>54</v>
      </c>
      <c r="DO66" s="34">
        <v>106</v>
      </c>
      <c r="DP66" s="34">
        <f>1+81</f>
        <v>82</v>
      </c>
      <c r="DQ66" s="34">
        <f>1+136</f>
        <v>137</v>
      </c>
      <c r="DR66" s="34">
        <v>40</v>
      </c>
      <c r="DS66" s="34">
        <f>1+47</f>
        <v>48</v>
      </c>
      <c r="DT66" s="34">
        <v>48</v>
      </c>
      <c r="DU66" s="34">
        <v>45</v>
      </c>
      <c r="DV66" s="34">
        <v>48</v>
      </c>
      <c r="DW66" s="34">
        <v>48</v>
      </c>
      <c r="DX66" s="34">
        <v>94</v>
      </c>
      <c r="DY66" s="34">
        <f>1+69</f>
        <v>70</v>
      </c>
      <c r="DZ66" s="34">
        <f>1+56</f>
        <v>57</v>
      </c>
      <c r="EA66" s="34">
        <f>2+34</f>
        <v>36</v>
      </c>
      <c r="EB66" s="34">
        <v>21</v>
      </c>
      <c r="EC66" s="34">
        <v>94</v>
      </c>
      <c r="ED66" s="17">
        <f t="shared" si="2"/>
        <v>52</v>
      </c>
      <c r="EE66" s="17">
        <f t="shared" si="9"/>
        <v>318</v>
      </c>
      <c r="EF66" s="16">
        <f>(ED66*6)-EE66</f>
        <v>-6</v>
      </c>
      <c r="EG66" s="18"/>
      <c r="EH66" s="12">
        <f>60*2</f>
        <v>120</v>
      </c>
      <c r="EI66" s="80">
        <f>EH66*7</f>
        <v>840</v>
      </c>
      <c r="EJ66" s="10" t="s">
        <v>541</v>
      </c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35">
        <v>0</v>
      </c>
      <c r="FD66" s="35">
        <v>0</v>
      </c>
      <c r="FE66" s="35">
        <v>0</v>
      </c>
      <c r="FF66" s="35">
        <v>0</v>
      </c>
      <c r="FG66" s="35">
        <v>5</v>
      </c>
      <c r="FH66" s="35">
        <v>0</v>
      </c>
      <c r="FI66" s="35">
        <v>0</v>
      </c>
      <c r="FJ66" s="35">
        <v>0</v>
      </c>
      <c r="FK66" s="35" t="e">
        <f>VLOOKUP(H66,#REF!,2,)</f>
        <v>#REF!</v>
      </c>
      <c r="FL66" s="35">
        <v>0</v>
      </c>
      <c r="FM66" s="16" t="e">
        <f t="shared" si="3"/>
        <v>#REF!</v>
      </c>
      <c r="FN66" s="16" t="e">
        <f t="shared" si="8"/>
        <v>#REF!</v>
      </c>
      <c r="FO66" s="44" t="e">
        <f t="shared" si="4"/>
        <v>#REF!</v>
      </c>
      <c r="FR66" s="74">
        <f t="shared" si="13"/>
        <v>840</v>
      </c>
      <c r="FV66" s="10">
        <f>32*3</f>
        <v>96</v>
      </c>
      <c r="FX66" s="10">
        <f>32*3</f>
        <v>96</v>
      </c>
    </row>
    <row r="67" spans="1:180" s="10" customFormat="1" hidden="1">
      <c r="A67" s="12">
        <v>64</v>
      </c>
      <c r="B67" s="13" t="s">
        <v>22</v>
      </c>
      <c r="C67" s="13" t="s">
        <v>27</v>
      </c>
      <c r="D67" s="14">
        <v>1</v>
      </c>
      <c r="E67" s="14" t="s">
        <v>24</v>
      </c>
      <c r="F67" s="19">
        <v>25</v>
      </c>
      <c r="G67" s="14" t="s">
        <v>25</v>
      </c>
      <c r="H67" s="15">
        <v>881118</v>
      </c>
      <c r="I67" s="15" t="s">
        <v>29</v>
      </c>
      <c r="J67" s="16">
        <v>-5</v>
      </c>
      <c r="K67" s="87">
        <f>144</f>
        <v>144</v>
      </c>
      <c r="L67" s="87">
        <f>96</f>
        <v>96</v>
      </c>
      <c r="M67" s="87">
        <f>96</f>
        <v>96</v>
      </c>
      <c r="N67" s="12"/>
      <c r="O67" s="12"/>
      <c r="P67" s="12"/>
      <c r="Q67" s="12"/>
      <c r="R67" s="12">
        <v>100</v>
      </c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/>
      <c r="AN67" s="34"/>
      <c r="AO67" s="34">
        <v>0</v>
      </c>
      <c r="AP67" s="34">
        <v>0</v>
      </c>
      <c r="AQ67" s="34">
        <v>0</v>
      </c>
      <c r="AR67" s="34">
        <v>2</v>
      </c>
      <c r="AS67" s="34">
        <v>13</v>
      </c>
      <c r="AT67" s="34">
        <v>33</v>
      </c>
      <c r="AU67" s="34">
        <v>8</v>
      </c>
      <c r="AV67" s="34">
        <v>25</v>
      </c>
      <c r="AW67" s="34">
        <v>34</v>
      </c>
      <c r="AX67" s="34">
        <v>15</v>
      </c>
      <c r="AY67" s="34">
        <v>13</v>
      </c>
      <c r="AZ67" s="34">
        <v>19</v>
      </c>
      <c r="BA67" s="34">
        <v>27</v>
      </c>
      <c r="BB67" s="34">
        <v>28</v>
      </c>
      <c r="BC67" s="34">
        <v>32</v>
      </c>
      <c r="BD67" s="34">
        <v>59</v>
      </c>
      <c r="BE67" s="34">
        <v>19</v>
      </c>
      <c r="BF67" s="34">
        <v>53</v>
      </c>
      <c r="BG67" s="34">
        <v>70</v>
      </c>
      <c r="BH67" s="34">
        <v>67</v>
      </c>
      <c r="BI67" s="34">
        <v>37</v>
      </c>
      <c r="BJ67" s="34">
        <v>34</v>
      </c>
      <c r="BK67" s="34">
        <v>22</v>
      </c>
      <c r="BL67" s="34">
        <v>12</v>
      </c>
      <c r="BM67" s="34">
        <v>34</v>
      </c>
      <c r="BN67" s="34">
        <v>28</v>
      </c>
      <c r="BO67" s="34">
        <v>37</v>
      </c>
      <c r="BP67" s="34">
        <v>75</v>
      </c>
      <c r="BQ67" s="34">
        <v>52</v>
      </c>
      <c r="BR67" s="34">
        <v>48</v>
      </c>
      <c r="BS67" s="34">
        <v>40</v>
      </c>
      <c r="BT67" s="34">
        <v>54</v>
      </c>
      <c r="BU67" s="34">
        <v>51</v>
      </c>
      <c r="BV67" s="34">
        <v>27</v>
      </c>
      <c r="BW67" s="34">
        <v>32</v>
      </c>
      <c r="BX67" s="34">
        <v>29</v>
      </c>
      <c r="BY67" s="34">
        <v>42</v>
      </c>
      <c r="BZ67" s="34">
        <v>47</v>
      </c>
      <c r="CA67" s="34">
        <v>56</v>
      </c>
      <c r="CB67" s="34">
        <v>83</v>
      </c>
      <c r="CC67" s="34">
        <v>50</v>
      </c>
      <c r="CD67" s="34">
        <v>88</v>
      </c>
      <c r="CE67" s="34">
        <v>10</v>
      </c>
      <c r="CF67" s="34">
        <v>37</v>
      </c>
      <c r="CG67" s="34">
        <v>64</v>
      </c>
      <c r="CH67" s="34">
        <v>42</v>
      </c>
      <c r="CI67" s="34">
        <v>43</v>
      </c>
      <c r="CJ67" s="34">
        <v>34</v>
      </c>
      <c r="CK67" s="34">
        <v>35</v>
      </c>
      <c r="CL67" s="34">
        <v>55</v>
      </c>
      <c r="CM67" s="34">
        <v>81</v>
      </c>
      <c r="CN67" s="34">
        <v>64</v>
      </c>
      <c r="CO67" s="34">
        <v>39</v>
      </c>
      <c r="CP67" s="34">
        <v>50</v>
      </c>
      <c r="CQ67" s="34">
        <v>98</v>
      </c>
      <c r="CR67" s="34">
        <v>43</v>
      </c>
      <c r="CS67" s="34">
        <v>12</v>
      </c>
      <c r="CT67" s="34">
        <v>17</v>
      </c>
      <c r="CU67" s="34">
        <v>18</v>
      </c>
      <c r="CV67" s="34">
        <v>35</v>
      </c>
      <c r="CW67" s="34">
        <v>16</v>
      </c>
      <c r="CX67" s="34">
        <v>14</v>
      </c>
      <c r="CY67" s="34">
        <v>25</v>
      </c>
      <c r="CZ67" s="34">
        <v>57</v>
      </c>
      <c r="DA67" s="34">
        <v>40</v>
      </c>
      <c r="DB67" s="34">
        <v>62</v>
      </c>
      <c r="DC67" s="34">
        <v>11</v>
      </c>
      <c r="DD67" s="34">
        <v>17</v>
      </c>
      <c r="DE67" s="34">
        <v>43</v>
      </c>
      <c r="DF67" s="34">
        <v>49</v>
      </c>
      <c r="DG67" s="34">
        <v>27</v>
      </c>
      <c r="DH67" s="34">
        <v>20</v>
      </c>
      <c r="DI67" s="34">
        <v>39</v>
      </c>
      <c r="DJ67" s="34">
        <v>2</v>
      </c>
      <c r="DK67" s="34">
        <v>9</v>
      </c>
      <c r="DL67" s="34">
        <v>49</v>
      </c>
      <c r="DM67" s="34">
        <v>67</v>
      </c>
      <c r="DN67" s="34">
        <v>23</v>
      </c>
      <c r="DO67" s="34">
        <v>16</v>
      </c>
      <c r="DP67" s="34">
        <v>26</v>
      </c>
      <c r="DQ67" s="34">
        <v>37</v>
      </c>
      <c r="DR67" s="34">
        <v>34</v>
      </c>
      <c r="DS67" s="34">
        <v>35</v>
      </c>
      <c r="DT67" s="34">
        <v>44</v>
      </c>
      <c r="DU67" s="34">
        <v>40</v>
      </c>
      <c r="DV67" s="34">
        <v>11</v>
      </c>
      <c r="DW67" s="34">
        <v>16</v>
      </c>
      <c r="DX67" s="34">
        <v>26</v>
      </c>
      <c r="DY67" s="34">
        <v>6</v>
      </c>
      <c r="DZ67" s="34">
        <v>6</v>
      </c>
      <c r="EA67" s="34">
        <v>3</v>
      </c>
      <c r="EB67" s="34">
        <v>15</v>
      </c>
      <c r="EC67" s="34">
        <v>123</v>
      </c>
      <c r="ED67" s="17">
        <f t="shared" si="2"/>
        <v>36.75</v>
      </c>
      <c r="EE67" s="17">
        <f t="shared" si="9"/>
        <v>194.25</v>
      </c>
      <c r="EF67" s="16">
        <f>(ED67*6)-EE67</f>
        <v>26.25</v>
      </c>
      <c r="EG67" s="18"/>
      <c r="EH67" s="12">
        <f>24*4</f>
        <v>96</v>
      </c>
      <c r="EI67" s="80"/>
      <c r="EJ67" s="10" t="s">
        <v>127</v>
      </c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35"/>
      <c r="FD67" s="35"/>
      <c r="FE67" s="35"/>
      <c r="FF67" s="35">
        <v>0</v>
      </c>
      <c r="FG67" s="35">
        <v>0</v>
      </c>
      <c r="FH67" s="35">
        <v>9</v>
      </c>
      <c r="FI67" s="35">
        <v>37</v>
      </c>
      <c r="FJ67" s="35">
        <v>42</v>
      </c>
      <c r="FK67" s="35" t="e">
        <f>VLOOKUP(H67,#REF!,2,)</f>
        <v>#REF!</v>
      </c>
      <c r="FL67" s="35">
        <v>23</v>
      </c>
      <c r="FM67" s="16" t="e">
        <f t="shared" si="3"/>
        <v>#REF!</v>
      </c>
      <c r="FN67" s="16" t="e">
        <f t="shared" si="8"/>
        <v>#REF!</v>
      </c>
      <c r="FO67" s="44" t="e">
        <f t="shared" si="4"/>
        <v>#REF!</v>
      </c>
      <c r="FR67" s="74">
        <f t="shared" si="13"/>
        <v>2400</v>
      </c>
      <c r="FU67" s="10">
        <v>72</v>
      </c>
      <c r="FX67" s="10">
        <f>24*3</f>
        <v>72</v>
      </c>
    </row>
    <row r="68" spans="1:180" s="10" customFormat="1" hidden="1">
      <c r="A68" s="12">
        <v>65</v>
      </c>
      <c r="B68" s="13" t="s">
        <v>22</v>
      </c>
      <c r="C68" s="13" t="s">
        <v>145</v>
      </c>
      <c r="D68" s="14">
        <v>1</v>
      </c>
      <c r="E68" s="14" t="s">
        <v>24</v>
      </c>
      <c r="F68" s="19">
        <v>25</v>
      </c>
      <c r="G68" s="14" t="s">
        <v>25</v>
      </c>
      <c r="H68" s="15">
        <v>881119</v>
      </c>
      <c r="I68" s="15" t="s">
        <v>29</v>
      </c>
      <c r="J68" s="16">
        <v>1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/>
      <c r="AP68" s="34"/>
      <c r="AQ68" s="34"/>
      <c r="AR68" s="34"/>
      <c r="AS68" s="34"/>
      <c r="AT68" s="34"/>
      <c r="AU68" s="34"/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4">
        <v>0</v>
      </c>
      <c r="BC68" s="34">
        <v>0</v>
      </c>
      <c r="BD68" s="34">
        <v>3</v>
      </c>
      <c r="BE68" s="34">
        <v>2</v>
      </c>
      <c r="BF68" s="34">
        <v>2</v>
      </c>
      <c r="BG68" s="34">
        <v>5</v>
      </c>
      <c r="BH68" s="34">
        <v>2</v>
      </c>
      <c r="BI68" s="34">
        <v>0</v>
      </c>
      <c r="BJ68" s="34">
        <v>4</v>
      </c>
      <c r="BK68" s="34">
        <v>1</v>
      </c>
      <c r="BL68" s="34">
        <v>7</v>
      </c>
      <c r="BM68" s="34">
        <v>17</v>
      </c>
      <c r="BN68" s="34">
        <v>12</v>
      </c>
      <c r="BO68" s="34">
        <v>6</v>
      </c>
      <c r="BP68" s="34">
        <v>20</v>
      </c>
      <c r="BQ68" s="34">
        <v>11</v>
      </c>
      <c r="BR68" s="34">
        <v>11</v>
      </c>
      <c r="BS68" s="34">
        <v>17</v>
      </c>
      <c r="BT68" s="34">
        <v>35</v>
      </c>
      <c r="BU68" s="34">
        <v>4</v>
      </c>
      <c r="BV68" s="34">
        <v>6</v>
      </c>
      <c r="BW68" s="34">
        <v>12</v>
      </c>
      <c r="BX68" s="34">
        <v>4</v>
      </c>
      <c r="BY68" s="34">
        <v>20</v>
      </c>
      <c r="BZ68" s="34">
        <v>19</v>
      </c>
      <c r="CA68" s="34">
        <v>11</v>
      </c>
      <c r="CB68" s="34">
        <v>20</v>
      </c>
      <c r="CC68" s="34">
        <v>4</v>
      </c>
      <c r="CD68" s="34">
        <v>12</v>
      </c>
      <c r="CE68" s="34">
        <v>0</v>
      </c>
      <c r="CF68" s="34">
        <v>2</v>
      </c>
      <c r="CG68" s="34">
        <v>7</v>
      </c>
      <c r="CH68" s="34">
        <v>1</v>
      </c>
      <c r="CI68" s="34">
        <v>4</v>
      </c>
      <c r="CJ68" s="34">
        <v>7</v>
      </c>
      <c r="CK68" s="34">
        <v>1</v>
      </c>
      <c r="CL68" s="34">
        <v>1</v>
      </c>
      <c r="CM68" s="34">
        <v>2</v>
      </c>
      <c r="CN68" s="34">
        <v>10</v>
      </c>
      <c r="CO68" s="34">
        <v>5</v>
      </c>
      <c r="CP68" s="34">
        <v>1</v>
      </c>
      <c r="CQ68" s="34">
        <v>4</v>
      </c>
      <c r="CR68" s="34">
        <v>11</v>
      </c>
      <c r="CS68" s="34">
        <v>3</v>
      </c>
      <c r="CT68" s="34">
        <v>1</v>
      </c>
      <c r="CU68" s="34">
        <v>8</v>
      </c>
      <c r="CV68" s="34">
        <v>1</v>
      </c>
      <c r="CW68" s="34">
        <v>1</v>
      </c>
      <c r="CX68" s="34">
        <v>0</v>
      </c>
      <c r="CY68" s="34">
        <v>0</v>
      </c>
      <c r="CZ68" s="34">
        <v>2</v>
      </c>
      <c r="DA68" s="34">
        <v>12</v>
      </c>
      <c r="DB68" s="34">
        <v>0</v>
      </c>
      <c r="DC68" s="34">
        <v>0</v>
      </c>
      <c r="DD68" s="34">
        <v>0</v>
      </c>
      <c r="DE68" s="34">
        <v>0</v>
      </c>
      <c r="DF68" s="34">
        <v>0</v>
      </c>
      <c r="DG68" s="34">
        <v>1</v>
      </c>
      <c r="DH68" s="34">
        <v>1</v>
      </c>
      <c r="DI68" s="34">
        <v>0</v>
      </c>
      <c r="DJ68" s="34">
        <v>0</v>
      </c>
      <c r="DK68" s="34">
        <v>0</v>
      </c>
      <c r="DL68" s="34">
        <v>3</v>
      </c>
      <c r="DM68" s="34">
        <v>0</v>
      </c>
      <c r="DN68" s="34">
        <v>0</v>
      </c>
      <c r="DO68" s="34">
        <v>0</v>
      </c>
      <c r="DP68" s="34">
        <v>0</v>
      </c>
      <c r="DQ68" s="34">
        <v>0</v>
      </c>
      <c r="DR68" s="34">
        <v>0</v>
      </c>
      <c r="DS68" s="34">
        <v>0</v>
      </c>
      <c r="DT68" s="34">
        <v>0</v>
      </c>
      <c r="DU68" s="34">
        <v>0</v>
      </c>
      <c r="DV68" s="34">
        <v>0</v>
      </c>
      <c r="DW68" s="34">
        <v>0</v>
      </c>
      <c r="DX68" s="34">
        <v>0</v>
      </c>
      <c r="DY68" s="34">
        <v>0</v>
      </c>
      <c r="DZ68" s="34">
        <v>0</v>
      </c>
      <c r="EA68" s="34">
        <v>0</v>
      </c>
      <c r="EB68" s="34">
        <v>0</v>
      </c>
      <c r="EC68" s="34">
        <v>0</v>
      </c>
      <c r="ED68" s="17">
        <f t="shared" si="2"/>
        <v>0</v>
      </c>
      <c r="EE68" s="17">
        <f t="shared" ref="EE68:EE99" si="15">(J68+K68+L68+M68)-(N68+O68+P68+Q68+T68+R68+S68+ED68)</f>
        <v>1</v>
      </c>
      <c r="EF68" s="16">
        <f>(ED68*4)-EE68</f>
        <v>-1</v>
      </c>
      <c r="EG68" s="18"/>
      <c r="EH68" s="12">
        <v>0</v>
      </c>
      <c r="EI68" s="80"/>
      <c r="EJ68" s="10" t="s">
        <v>127</v>
      </c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16"/>
      <c r="FN68" s="16"/>
      <c r="FO68" s="44"/>
      <c r="FR68" s="74">
        <f t="shared" si="13"/>
        <v>0</v>
      </c>
    </row>
    <row r="69" spans="1:180" s="10" customFormat="1" hidden="1">
      <c r="A69" s="12">
        <v>66</v>
      </c>
      <c r="B69" s="13" t="s">
        <v>22</v>
      </c>
      <c r="C69" s="13" t="s">
        <v>118</v>
      </c>
      <c r="D69" s="14">
        <v>4</v>
      </c>
      <c r="E69" s="14" t="s">
        <v>24</v>
      </c>
      <c r="F69" s="19">
        <v>4</v>
      </c>
      <c r="G69" s="14" t="s">
        <v>25</v>
      </c>
      <c r="H69" s="15">
        <v>877932</v>
      </c>
      <c r="I69" s="15" t="s">
        <v>26</v>
      </c>
      <c r="J69" s="16">
        <v>0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8</v>
      </c>
      <c r="BA69" s="34">
        <v>12</v>
      </c>
      <c r="BB69" s="34">
        <v>11</v>
      </c>
      <c r="BC69" s="34">
        <v>12</v>
      </c>
      <c r="BD69" s="34">
        <v>3</v>
      </c>
      <c r="BE69" s="34">
        <v>15</v>
      </c>
      <c r="BF69" s="34">
        <v>4</v>
      </c>
      <c r="BG69" s="34">
        <v>7</v>
      </c>
      <c r="BH69" s="34">
        <v>1</v>
      </c>
      <c r="BI69" s="34">
        <v>1</v>
      </c>
      <c r="BJ69" s="34">
        <v>0</v>
      </c>
      <c r="BK69" s="34">
        <v>5</v>
      </c>
      <c r="BL69" s="34">
        <v>1</v>
      </c>
      <c r="BM69" s="34">
        <v>0</v>
      </c>
      <c r="BN69" s="34">
        <v>3</v>
      </c>
      <c r="BO69" s="34">
        <v>4</v>
      </c>
      <c r="BP69" s="34">
        <v>1</v>
      </c>
      <c r="BQ69" s="34">
        <v>1</v>
      </c>
      <c r="BR69" s="34">
        <v>2</v>
      </c>
      <c r="BS69" s="34">
        <v>0</v>
      </c>
      <c r="BT69" s="34">
        <v>4</v>
      </c>
      <c r="BU69" s="34">
        <v>0</v>
      </c>
      <c r="BV69" s="34">
        <v>4</v>
      </c>
      <c r="BW69" s="34">
        <v>0</v>
      </c>
      <c r="BX69" s="34">
        <v>0</v>
      </c>
      <c r="BY69" s="34">
        <v>0</v>
      </c>
      <c r="BZ69" s="34">
        <v>2</v>
      </c>
      <c r="CA69" s="34">
        <v>0</v>
      </c>
      <c r="CB69" s="34">
        <v>0</v>
      </c>
      <c r="CC69" s="34">
        <v>0</v>
      </c>
      <c r="CD69" s="34">
        <v>5</v>
      </c>
      <c r="CE69" s="34">
        <v>1</v>
      </c>
      <c r="CF69" s="34">
        <v>0</v>
      </c>
      <c r="CG69" s="34">
        <v>2</v>
      </c>
      <c r="CH69" s="34">
        <v>0</v>
      </c>
      <c r="CI69" s="34">
        <v>1</v>
      </c>
      <c r="CJ69" s="34">
        <v>2</v>
      </c>
      <c r="CK69" s="34">
        <v>0</v>
      </c>
      <c r="CL69" s="34">
        <v>0</v>
      </c>
      <c r="CM69" s="34">
        <v>4</v>
      </c>
      <c r="CN69" s="34">
        <v>0</v>
      </c>
      <c r="CO69" s="34">
        <v>4</v>
      </c>
      <c r="CP69" s="34">
        <v>0</v>
      </c>
      <c r="CQ69" s="34">
        <v>0</v>
      </c>
      <c r="CR69" s="34">
        <v>2</v>
      </c>
      <c r="CS69" s="34">
        <v>4</v>
      </c>
      <c r="CT69" s="34">
        <v>1</v>
      </c>
      <c r="CU69" s="34">
        <v>0</v>
      </c>
      <c r="CV69" s="34">
        <v>4</v>
      </c>
      <c r="CW69" s="34">
        <v>4</v>
      </c>
      <c r="CX69" s="34">
        <v>3</v>
      </c>
      <c r="CY69" s="34">
        <v>1</v>
      </c>
      <c r="CZ69" s="34">
        <v>0</v>
      </c>
      <c r="DA69" s="34">
        <v>0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34">
        <v>0</v>
      </c>
      <c r="DI69" s="34">
        <v>0</v>
      </c>
      <c r="DJ69" s="34">
        <v>0</v>
      </c>
      <c r="DK69" s="34">
        <v>0</v>
      </c>
      <c r="DL69" s="34">
        <v>0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17">
        <f t="shared" ref="ED69:ED121" si="16">AVERAGE(DZ69:EC69)</f>
        <v>0</v>
      </c>
      <c r="EE69" s="17">
        <f t="shared" si="15"/>
        <v>0</v>
      </c>
      <c r="EF69" s="16">
        <f t="shared" si="5"/>
        <v>0</v>
      </c>
      <c r="EG69" s="18"/>
      <c r="EH69" s="12">
        <v>0</v>
      </c>
      <c r="EI69" s="80"/>
      <c r="EJ69" s="10" t="s">
        <v>407</v>
      </c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35"/>
      <c r="FD69" s="35"/>
      <c r="FE69" s="35"/>
      <c r="FF69" s="35"/>
      <c r="FG69" s="35">
        <v>0</v>
      </c>
      <c r="FH69" s="35">
        <v>0</v>
      </c>
      <c r="FI69" s="35">
        <v>0</v>
      </c>
      <c r="FJ69" s="35">
        <v>55</v>
      </c>
      <c r="FK69" s="35" t="e">
        <f>VLOOKUP(H69,#REF!,2,)</f>
        <v>#REF!</v>
      </c>
      <c r="FL69" s="35">
        <v>0</v>
      </c>
      <c r="FM69" s="16" t="e">
        <f t="shared" si="3"/>
        <v>#REF!</v>
      </c>
      <c r="FN69" s="16" t="e">
        <f t="shared" ref="FN69:FN78" si="17">(J69+K69+L69+M69)-(T69+FM69)</f>
        <v>#REF!</v>
      </c>
      <c r="FO69" s="44" t="e">
        <f t="shared" si="4"/>
        <v>#REF!</v>
      </c>
      <c r="FR69" s="74">
        <f t="shared" si="13"/>
        <v>0</v>
      </c>
    </row>
    <row r="70" spans="1:180" s="10" customFormat="1" hidden="1">
      <c r="A70" s="12">
        <v>67</v>
      </c>
      <c r="B70" s="13" t="s">
        <v>22</v>
      </c>
      <c r="C70" s="13" t="s">
        <v>132</v>
      </c>
      <c r="D70" s="14">
        <v>6</v>
      </c>
      <c r="E70" s="14" t="s">
        <v>138</v>
      </c>
      <c r="F70" s="19">
        <v>2</v>
      </c>
      <c r="G70" s="14" t="s">
        <v>36</v>
      </c>
      <c r="H70" s="15" t="s">
        <v>128</v>
      </c>
      <c r="I70" s="15" t="s">
        <v>142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/>
      <c r="AR70" s="34"/>
      <c r="AS70" s="34"/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0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17">
        <f t="shared" si="16"/>
        <v>0</v>
      </c>
      <c r="EE70" s="17">
        <f t="shared" si="15"/>
        <v>0</v>
      </c>
      <c r="EF70" s="16">
        <f t="shared" ref="EF70:EF73" si="18">(ED70*2)-EE70</f>
        <v>0</v>
      </c>
      <c r="EG70" s="18"/>
      <c r="EH70" s="12">
        <v>0</v>
      </c>
      <c r="EI70" s="80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35"/>
      <c r="FD70" s="35"/>
      <c r="FE70" s="35"/>
      <c r="FF70" s="35"/>
      <c r="FG70" s="35"/>
      <c r="FH70" s="35"/>
      <c r="FI70" s="35"/>
      <c r="FJ70" s="35"/>
      <c r="FK70" s="35"/>
      <c r="FL70" s="35">
        <v>0</v>
      </c>
      <c r="FM70" s="16">
        <f t="shared" ref="FM70:FM73" si="19">AVERAGE(FF70:FL70)</f>
        <v>0</v>
      </c>
      <c r="FN70" s="16">
        <f t="shared" si="17"/>
        <v>0</v>
      </c>
      <c r="FO70" s="44">
        <f t="shared" ref="FO70:FO73" si="20">(FM70*2)-FN70</f>
        <v>0</v>
      </c>
      <c r="FR70" s="74">
        <f t="shared" si="13"/>
        <v>0</v>
      </c>
    </row>
    <row r="71" spans="1:180" s="10" customFormat="1" hidden="1">
      <c r="A71" s="12">
        <v>68</v>
      </c>
      <c r="B71" s="13" t="s">
        <v>22</v>
      </c>
      <c r="C71" s="13" t="s">
        <v>133</v>
      </c>
      <c r="D71" s="14">
        <v>12</v>
      </c>
      <c r="E71" s="14" t="s">
        <v>138</v>
      </c>
      <c r="F71" s="19">
        <v>1</v>
      </c>
      <c r="G71" s="14" t="s">
        <v>36</v>
      </c>
      <c r="H71" s="15" t="s">
        <v>129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17">
        <f t="shared" si="16"/>
        <v>0</v>
      </c>
      <c r="EE71" s="17">
        <f t="shared" si="15"/>
        <v>0</v>
      </c>
      <c r="EF71" s="16">
        <f t="shared" si="18"/>
        <v>0</v>
      </c>
      <c r="EG71" s="18"/>
      <c r="EH71" s="12">
        <v>0</v>
      </c>
      <c r="EI71" s="80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35"/>
      <c r="FD71" s="35"/>
      <c r="FE71" s="35"/>
      <c r="FF71" s="35"/>
      <c r="FG71" s="35"/>
      <c r="FH71" s="35"/>
      <c r="FI71" s="35"/>
      <c r="FJ71" s="35"/>
      <c r="FK71" s="35"/>
      <c r="FL71" s="35">
        <v>0</v>
      </c>
      <c r="FM71" s="16">
        <f t="shared" si="19"/>
        <v>0</v>
      </c>
      <c r="FN71" s="16">
        <f t="shared" si="17"/>
        <v>0</v>
      </c>
      <c r="FO71" s="44">
        <f t="shared" si="20"/>
        <v>0</v>
      </c>
      <c r="FR71" s="74">
        <f t="shared" si="13"/>
        <v>0</v>
      </c>
    </row>
    <row r="72" spans="1:180" s="10" customFormat="1" hidden="1">
      <c r="A72" s="12">
        <v>69</v>
      </c>
      <c r="B72" s="13" t="s">
        <v>22</v>
      </c>
      <c r="C72" s="13" t="s">
        <v>134</v>
      </c>
      <c r="D72" s="14">
        <v>24</v>
      </c>
      <c r="E72" s="14" t="s">
        <v>138</v>
      </c>
      <c r="F72" s="19">
        <v>0.5</v>
      </c>
      <c r="G72" s="14" t="s">
        <v>36</v>
      </c>
      <c r="H72" s="15" t="s">
        <v>130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17">
        <f t="shared" si="16"/>
        <v>0</v>
      </c>
      <c r="EE72" s="17">
        <f t="shared" si="15"/>
        <v>0</v>
      </c>
      <c r="EF72" s="16">
        <f t="shared" si="18"/>
        <v>0</v>
      </c>
      <c r="EG72" s="18"/>
      <c r="EH72" s="12">
        <v>0</v>
      </c>
      <c r="EI72" s="80"/>
      <c r="EJ72" s="10" t="s">
        <v>149</v>
      </c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35"/>
      <c r="FD72" s="35"/>
      <c r="FE72" s="35"/>
      <c r="FF72" s="35"/>
      <c r="FG72" s="35"/>
      <c r="FH72" s="35"/>
      <c r="FI72" s="35"/>
      <c r="FJ72" s="35"/>
      <c r="FK72" s="35"/>
      <c r="FL72" s="35">
        <v>0</v>
      </c>
      <c r="FM72" s="16">
        <f t="shared" si="19"/>
        <v>0</v>
      </c>
      <c r="FN72" s="16">
        <f t="shared" si="17"/>
        <v>0</v>
      </c>
      <c r="FO72" s="44">
        <f t="shared" si="20"/>
        <v>0</v>
      </c>
      <c r="FR72" s="74">
        <f t="shared" si="13"/>
        <v>0</v>
      </c>
    </row>
    <row r="73" spans="1:180" s="10" customFormat="1" hidden="1">
      <c r="A73" s="12">
        <v>70</v>
      </c>
      <c r="B73" s="13" t="s">
        <v>22</v>
      </c>
      <c r="C73" s="13" t="s">
        <v>135</v>
      </c>
      <c r="D73" s="14">
        <v>60</v>
      </c>
      <c r="E73" s="14" t="s">
        <v>138</v>
      </c>
      <c r="F73" s="19">
        <v>0.2</v>
      </c>
      <c r="G73" s="14" t="s">
        <v>36</v>
      </c>
      <c r="H73" s="15" t="s">
        <v>131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17">
        <f t="shared" si="16"/>
        <v>0</v>
      </c>
      <c r="EE73" s="17">
        <f t="shared" si="15"/>
        <v>0</v>
      </c>
      <c r="EF73" s="16">
        <f t="shared" si="18"/>
        <v>0</v>
      </c>
      <c r="EG73" s="18"/>
      <c r="EH73" s="12">
        <v>0</v>
      </c>
      <c r="EI73" s="80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35"/>
      <c r="FD73" s="35"/>
      <c r="FE73" s="35"/>
      <c r="FF73" s="35"/>
      <c r="FG73" s="35"/>
      <c r="FH73" s="35"/>
      <c r="FI73" s="35"/>
      <c r="FJ73" s="35"/>
      <c r="FK73" s="35"/>
      <c r="FL73" s="35">
        <v>0</v>
      </c>
      <c r="FM73" s="16">
        <f t="shared" si="19"/>
        <v>0</v>
      </c>
      <c r="FN73" s="16">
        <f t="shared" si="17"/>
        <v>0</v>
      </c>
      <c r="FO73" s="44">
        <f t="shared" si="20"/>
        <v>0</v>
      </c>
      <c r="FR73" s="74">
        <f t="shared" si="13"/>
        <v>0</v>
      </c>
    </row>
    <row r="74" spans="1:180" hidden="1">
      <c r="A74" s="12">
        <v>71</v>
      </c>
      <c r="B74" s="48" t="s">
        <v>22</v>
      </c>
      <c r="C74" s="47" t="s">
        <v>150</v>
      </c>
      <c r="D74" s="76">
        <v>1</v>
      </c>
      <c r="E74" s="76" t="s">
        <v>138</v>
      </c>
      <c r="F74" s="49">
        <v>25</v>
      </c>
      <c r="G74" s="76" t="s">
        <v>25</v>
      </c>
      <c r="H74" s="15">
        <v>880946</v>
      </c>
      <c r="I74" s="76" t="s">
        <v>29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1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1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1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3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17">
        <f t="shared" si="16"/>
        <v>0</v>
      </c>
      <c r="EE74" s="17">
        <f t="shared" si="15"/>
        <v>0</v>
      </c>
      <c r="EF74" s="16">
        <f t="shared" ref="EF74:EF78" si="21">(ED74*2)-EE74</f>
        <v>0</v>
      </c>
      <c r="EG74" s="18"/>
      <c r="EH74" s="12">
        <v>0</v>
      </c>
      <c r="EI74" s="80"/>
      <c r="EJ74" s="10" t="s">
        <v>127</v>
      </c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35"/>
      <c r="FD74" s="35"/>
      <c r="FE74" s="35"/>
      <c r="FF74" s="35"/>
      <c r="FG74" s="35"/>
      <c r="FH74" s="35"/>
      <c r="FI74" s="35"/>
      <c r="FJ74" s="35"/>
      <c r="FK74" s="35"/>
      <c r="FL74" s="35">
        <v>0</v>
      </c>
      <c r="FM74" s="16">
        <f t="shared" ref="FM74:FM78" si="22">AVERAGE(FF74:FL74)</f>
        <v>0</v>
      </c>
      <c r="FN74" s="16">
        <f t="shared" si="17"/>
        <v>0</v>
      </c>
      <c r="FO74" s="44">
        <f t="shared" ref="FO74:FO78" si="23">(FM74*2)-FN74</f>
        <v>0</v>
      </c>
      <c r="FR74" s="74">
        <f t="shared" si="13"/>
        <v>0</v>
      </c>
    </row>
    <row r="75" spans="1:180" hidden="1">
      <c r="A75" s="12">
        <v>72</v>
      </c>
      <c r="B75" s="48" t="s">
        <v>22</v>
      </c>
      <c r="C75" s="47" t="s">
        <v>154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880912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>
        <v>0</v>
      </c>
      <c r="CS75" s="34">
        <v>2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0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1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1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17">
        <f t="shared" si="16"/>
        <v>0</v>
      </c>
      <c r="EE75" s="17">
        <f t="shared" si="15"/>
        <v>0</v>
      </c>
      <c r="EF75" s="16">
        <f t="shared" si="21"/>
        <v>0</v>
      </c>
      <c r="EG75" s="18"/>
      <c r="EH75" s="12">
        <v>0</v>
      </c>
      <c r="EI75" s="80"/>
      <c r="EJ75" s="10" t="s">
        <v>127</v>
      </c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35"/>
      <c r="FD75" s="35"/>
      <c r="FE75" s="35"/>
      <c r="FF75" s="35"/>
      <c r="FG75" s="35"/>
      <c r="FH75" s="35"/>
      <c r="FI75" s="35"/>
      <c r="FJ75" s="35"/>
      <c r="FK75" s="35"/>
      <c r="FL75" s="35">
        <v>0</v>
      </c>
      <c r="FM75" s="16">
        <f t="shared" si="22"/>
        <v>0</v>
      </c>
      <c r="FN75" s="16">
        <f t="shared" si="17"/>
        <v>0</v>
      </c>
      <c r="FO75" s="44">
        <f t="shared" si="23"/>
        <v>0</v>
      </c>
      <c r="FR75" s="74">
        <f t="shared" si="13"/>
        <v>0</v>
      </c>
    </row>
    <row r="76" spans="1:180" hidden="1">
      <c r="A76" s="12">
        <v>73</v>
      </c>
      <c r="B76" s="48" t="s">
        <v>22</v>
      </c>
      <c r="C76" s="47" t="s">
        <v>153</v>
      </c>
      <c r="D76" s="76">
        <v>1</v>
      </c>
      <c r="E76" s="76" t="s">
        <v>138</v>
      </c>
      <c r="F76" s="49">
        <v>20</v>
      </c>
      <c r="G76" s="76" t="s">
        <v>25</v>
      </c>
      <c r="H76" s="15">
        <v>874946</v>
      </c>
      <c r="I76" s="76" t="s">
        <v>29</v>
      </c>
      <c r="J76" s="16">
        <v>0</v>
      </c>
      <c r="K76" s="20"/>
      <c r="L76" s="20"/>
      <c r="M76" s="20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3</v>
      </c>
      <c r="BJ76" s="34">
        <v>1</v>
      </c>
      <c r="BK76" s="34">
        <v>2</v>
      </c>
      <c r="BL76" s="34">
        <v>0</v>
      </c>
      <c r="BM76" s="34">
        <v>0</v>
      </c>
      <c r="BN76" s="34">
        <v>0</v>
      </c>
      <c r="BO76" s="34">
        <v>0</v>
      </c>
      <c r="BP76" s="34">
        <v>4</v>
      </c>
      <c r="BQ76" s="34">
        <v>2</v>
      </c>
      <c r="BR76" s="34">
        <v>5</v>
      </c>
      <c r="BS76" s="34">
        <v>1</v>
      </c>
      <c r="BT76" s="34">
        <v>10</v>
      </c>
      <c r="BU76" s="34">
        <v>4</v>
      </c>
      <c r="BV76" s="34">
        <v>0</v>
      </c>
      <c r="BW76" s="34">
        <v>2</v>
      </c>
      <c r="BX76" s="34">
        <v>0</v>
      </c>
      <c r="BY76" s="34">
        <v>2</v>
      </c>
      <c r="BZ76" s="34">
        <v>5</v>
      </c>
      <c r="CA76" s="34">
        <v>7</v>
      </c>
      <c r="CB76" s="34">
        <v>4</v>
      </c>
      <c r="CC76" s="34">
        <v>5</v>
      </c>
      <c r="CD76" s="34">
        <v>0</v>
      </c>
      <c r="CE76" s="34">
        <v>5</v>
      </c>
      <c r="CF76" s="34">
        <v>3</v>
      </c>
      <c r="CG76" s="34">
        <v>1</v>
      </c>
      <c r="CH76" s="34">
        <v>1</v>
      </c>
      <c r="CI76" s="34">
        <v>2</v>
      </c>
      <c r="CJ76" s="34">
        <v>2</v>
      </c>
      <c r="CK76" s="34">
        <v>0</v>
      </c>
      <c r="CL76" s="34">
        <v>5</v>
      </c>
      <c r="CM76" s="34">
        <v>7</v>
      </c>
      <c r="CN76" s="34">
        <v>1</v>
      </c>
      <c r="CO76" s="34">
        <v>5</v>
      </c>
      <c r="CP76" s="34">
        <v>0</v>
      </c>
      <c r="CQ76" s="34">
        <v>2</v>
      </c>
      <c r="CR76" s="34">
        <v>3.2</v>
      </c>
      <c r="CS76" s="34">
        <v>3</v>
      </c>
      <c r="CT76" s="34">
        <v>0</v>
      </c>
      <c r="CU76" s="34">
        <v>1</v>
      </c>
      <c r="CV76" s="34">
        <v>2</v>
      </c>
      <c r="CW76" s="34">
        <v>2</v>
      </c>
      <c r="CX76" s="34">
        <v>3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0</v>
      </c>
      <c r="DJ76" s="34">
        <v>0</v>
      </c>
      <c r="DK76" s="34">
        <v>0</v>
      </c>
      <c r="DL76" s="34">
        <v>0</v>
      </c>
      <c r="DM76" s="34">
        <v>0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0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17">
        <f t="shared" si="16"/>
        <v>0</v>
      </c>
      <c r="EE76" s="17">
        <f t="shared" si="15"/>
        <v>0</v>
      </c>
      <c r="EF76" s="16">
        <f>(ED76*3)-EE76</f>
        <v>0</v>
      </c>
      <c r="EG76" s="18"/>
      <c r="EH76" s="12">
        <v>0</v>
      </c>
      <c r="EI76" s="80"/>
      <c r="EJ76" s="10" t="s">
        <v>114</v>
      </c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35"/>
      <c r="FD76" s="35"/>
      <c r="FE76" s="35"/>
      <c r="FF76" s="35"/>
      <c r="FG76" s="35"/>
      <c r="FH76" s="35"/>
      <c r="FI76" s="35"/>
      <c r="FJ76" s="35"/>
      <c r="FK76" s="35"/>
      <c r="FL76" s="35">
        <v>0</v>
      </c>
      <c r="FM76" s="16">
        <f t="shared" si="22"/>
        <v>0</v>
      </c>
      <c r="FN76" s="16">
        <f t="shared" si="17"/>
        <v>0</v>
      </c>
      <c r="FO76" s="44">
        <f t="shared" si="23"/>
        <v>0</v>
      </c>
      <c r="FR76" s="74">
        <f t="shared" si="13"/>
        <v>0</v>
      </c>
      <c r="FT76" s="4">
        <v>27</v>
      </c>
    </row>
    <row r="77" spans="1:180" hidden="1">
      <c r="A77" s="12">
        <v>74</v>
      </c>
      <c r="B77" s="48" t="s">
        <v>22</v>
      </c>
      <c r="C77" s="47" t="s">
        <v>151</v>
      </c>
      <c r="D77" s="76">
        <v>24</v>
      </c>
      <c r="E77" s="76" t="s">
        <v>138</v>
      </c>
      <c r="F77" s="49">
        <v>1</v>
      </c>
      <c r="G77" s="76" t="s">
        <v>25</v>
      </c>
      <c r="H77" s="15">
        <v>691980</v>
      </c>
      <c r="I77" s="76" t="s">
        <v>26</v>
      </c>
      <c r="J77" s="16">
        <v>0</v>
      </c>
      <c r="K77" s="85"/>
      <c r="L77" s="85"/>
      <c r="M77" s="85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0</v>
      </c>
      <c r="BL77" s="34">
        <v>0</v>
      </c>
      <c r="BM77" s="34">
        <v>0</v>
      </c>
      <c r="BN77" s="34">
        <v>0</v>
      </c>
      <c r="BO77" s="34">
        <v>0</v>
      </c>
      <c r="BP77" s="34">
        <v>0</v>
      </c>
      <c r="BQ77" s="34">
        <v>0</v>
      </c>
      <c r="BR77" s="34">
        <v>0</v>
      </c>
      <c r="BS77" s="34">
        <v>0</v>
      </c>
      <c r="BT77" s="34">
        <v>0</v>
      </c>
      <c r="BU77" s="34">
        <v>0</v>
      </c>
      <c r="BV77" s="34">
        <v>0</v>
      </c>
      <c r="BW77" s="34">
        <v>0</v>
      </c>
      <c r="BX77" s="34">
        <v>0</v>
      </c>
      <c r="BY77" s="34">
        <v>0</v>
      </c>
      <c r="BZ77" s="34">
        <v>0</v>
      </c>
      <c r="CA77" s="34">
        <v>0</v>
      </c>
      <c r="CB77" s="34">
        <v>0</v>
      </c>
      <c r="CC77" s="34">
        <v>0</v>
      </c>
      <c r="CD77" s="34">
        <v>0</v>
      </c>
      <c r="CE77" s="34">
        <v>0</v>
      </c>
      <c r="CF77" s="34">
        <v>0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>
        <v>0</v>
      </c>
      <c r="CS77" s="34">
        <v>0</v>
      </c>
      <c r="CT77" s="34">
        <v>0</v>
      </c>
      <c r="CU77" s="34">
        <v>0</v>
      </c>
      <c r="CV77" s="34">
        <v>0</v>
      </c>
      <c r="CW77" s="34">
        <v>0</v>
      </c>
      <c r="CX77" s="34">
        <v>0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17">
        <f t="shared" si="16"/>
        <v>0</v>
      </c>
      <c r="EE77" s="17">
        <f t="shared" si="15"/>
        <v>0</v>
      </c>
      <c r="EF77" s="16">
        <f t="shared" si="21"/>
        <v>0</v>
      </c>
      <c r="EG77" s="18"/>
      <c r="EH77" s="12">
        <v>0</v>
      </c>
      <c r="EI77" s="80"/>
      <c r="EJ77" s="10" t="s">
        <v>96</v>
      </c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35"/>
      <c r="FD77" s="35"/>
      <c r="FE77" s="35"/>
      <c r="FF77" s="35"/>
      <c r="FG77" s="35"/>
      <c r="FH77" s="35"/>
      <c r="FI77" s="35"/>
      <c r="FJ77" s="35"/>
      <c r="FK77" s="35"/>
      <c r="FL77" s="35">
        <v>0</v>
      </c>
      <c r="FM77" s="16">
        <f t="shared" si="22"/>
        <v>0</v>
      </c>
      <c r="FN77" s="16">
        <f t="shared" si="17"/>
        <v>0</v>
      </c>
      <c r="FO77" s="44">
        <f t="shared" si="23"/>
        <v>0</v>
      </c>
      <c r="FR77" s="74">
        <f t="shared" si="13"/>
        <v>0</v>
      </c>
    </row>
    <row r="78" spans="1:180" hidden="1">
      <c r="A78" s="12">
        <v>75</v>
      </c>
      <c r="B78" s="48" t="s">
        <v>22</v>
      </c>
      <c r="C78" s="47" t="s">
        <v>152</v>
      </c>
      <c r="D78" s="76">
        <v>4</v>
      </c>
      <c r="E78" s="76" t="s">
        <v>138</v>
      </c>
      <c r="F78" s="49">
        <v>4</v>
      </c>
      <c r="G78" s="76" t="s">
        <v>25</v>
      </c>
      <c r="H78" s="15">
        <v>691979</v>
      </c>
      <c r="I78" s="76" t="s">
        <v>26</v>
      </c>
      <c r="J78" s="16">
        <v>0</v>
      </c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17">
        <f t="shared" si="16"/>
        <v>0</v>
      </c>
      <c r="EE78" s="17">
        <f t="shared" si="15"/>
        <v>0</v>
      </c>
      <c r="EF78" s="16">
        <f t="shared" si="21"/>
        <v>0</v>
      </c>
      <c r="EG78" s="18"/>
      <c r="EH78" s="12">
        <v>0</v>
      </c>
      <c r="EI78" s="80"/>
      <c r="EJ78" s="10" t="s">
        <v>407</v>
      </c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35"/>
      <c r="FD78" s="35"/>
      <c r="FE78" s="35"/>
      <c r="FF78" s="35"/>
      <c r="FG78" s="35"/>
      <c r="FH78" s="35"/>
      <c r="FI78" s="35"/>
      <c r="FJ78" s="35"/>
      <c r="FK78" s="35"/>
      <c r="FL78" s="35">
        <v>0</v>
      </c>
      <c r="FM78" s="16">
        <f t="shared" si="22"/>
        <v>0</v>
      </c>
      <c r="FN78" s="16">
        <f t="shared" si="17"/>
        <v>0</v>
      </c>
      <c r="FO78" s="44">
        <f t="shared" si="23"/>
        <v>0</v>
      </c>
      <c r="FR78" s="74">
        <f t="shared" si="13"/>
        <v>0</v>
      </c>
    </row>
    <row r="79" spans="1:180" hidden="1">
      <c r="A79" s="12">
        <v>76</v>
      </c>
      <c r="B79" s="15" t="s">
        <v>22</v>
      </c>
      <c r="C79" s="15" t="s">
        <v>162</v>
      </c>
      <c r="D79" s="15">
        <v>4</v>
      </c>
      <c r="E79" s="15" t="s">
        <v>138</v>
      </c>
      <c r="F79" s="15">
        <v>5</v>
      </c>
      <c r="G79" s="15" t="s">
        <v>25</v>
      </c>
      <c r="H79" s="15">
        <v>880945</v>
      </c>
      <c r="I79" s="15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17">
        <f t="shared" si="16"/>
        <v>0</v>
      </c>
      <c r="EE79" s="17">
        <f t="shared" si="15"/>
        <v>0</v>
      </c>
      <c r="EF79" s="16">
        <f t="shared" ref="EF79:EF83" si="24">(ED79*2)-EE79</f>
        <v>0</v>
      </c>
      <c r="EG79" s="18"/>
      <c r="EH79" s="12">
        <v>0</v>
      </c>
      <c r="EI79" s="10">
        <f>SUBTOTAL(9,EI9:EI78)</f>
        <v>0</v>
      </c>
      <c r="EJ79" s="4" t="s">
        <v>149</v>
      </c>
      <c r="FR79" s="74">
        <f t="shared" si="13"/>
        <v>0</v>
      </c>
    </row>
    <row r="80" spans="1:180" hidden="1">
      <c r="A80" s="12">
        <v>77</v>
      </c>
      <c r="B80" s="15" t="s">
        <v>22</v>
      </c>
      <c r="C80" s="15" t="s">
        <v>162</v>
      </c>
      <c r="D80" s="15">
        <v>24</v>
      </c>
      <c r="E80" s="15" t="s">
        <v>138</v>
      </c>
      <c r="F80" s="15">
        <v>1</v>
      </c>
      <c r="G80" s="15" t="s">
        <v>25</v>
      </c>
      <c r="H80" s="15">
        <v>881096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17">
        <f t="shared" si="16"/>
        <v>0</v>
      </c>
      <c r="EE80" s="17">
        <f t="shared" si="15"/>
        <v>0</v>
      </c>
      <c r="EF80" s="16">
        <f t="shared" si="24"/>
        <v>0</v>
      </c>
      <c r="EG80" s="18"/>
      <c r="EH80" s="12">
        <v>0</v>
      </c>
      <c r="EJ80" s="4" t="s">
        <v>96</v>
      </c>
      <c r="FR80" s="74">
        <f t="shared" si="13"/>
        <v>0</v>
      </c>
    </row>
    <row r="81" spans="1:185" s="116" customFormat="1" hidden="1">
      <c r="A81" s="12">
        <v>78</v>
      </c>
      <c r="B81" s="107" t="s">
        <v>22</v>
      </c>
      <c r="C81" s="115" t="s">
        <v>164</v>
      </c>
      <c r="D81" s="107">
        <v>4</v>
      </c>
      <c r="E81" s="107" t="s">
        <v>138</v>
      </c>
      <c r="F81" s="107">
        <v>4</v>
      </c>
      <c r="G81" s="107" t="s">
        <v>25</v>
      </c>
      <c r="H81" s="107">
        <v>885194</v>
      </c>
      <c r="I81" s="107" t="s">
        <v>26</v>
      </c>
      <c r="J81" s="16">
        <v>8</v>
      </c>
      <c r="K81" s="104"/>
      <c r="L81" s="104"/>
      <c r="M81" s="104"/>
      <c r="N81" s="12"/>
      <c r="O81" s="12"/>
      <c r="P81" s="12"/>
      <c r="Q81" s="12"/>
      <c r="R81" s="104"/>
      <c r="S81" s="104"/>
      <c r="T81" s="104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36</v>
      </c>
      <c r="BL81" s="34">
        <v>12</v>
      </c>
      <c r="BM81" s="34">
        <v>32</v>
      </c>
      <c r="BN81" s="34">
        <v>49</v>
      </c>
      <c r="BO81" s="34">
        <v>123</v>
      </c>
      <c r="BP81" s="34">
        <v>95.84</v>
      </c>
      <c r="BQ81" s="34">
        <v>66</v>
      </c>
      <c r="BR81" s="34">
        <v>54</v>
      </c>
      <c r="BS81" s="34">
        <v>68</v>
      </c>
      <c r="BT81" s="34">
        <v>127</v>
      </c>
      <c r="BU81" s="34">
        <v>58</v>
      </c>
      <c r="BV81" s="34">
        <v>40</v>
      </c>
      <c r="BW81" s="34">
        <v>69</v>
      </c>
      <c r="BX81" s="34">
        <v>52</v>
      </c>
      <c r="BY81" s="34">
        <v>61</v>
      </c>
      <c r="BZ81" s="34">
        <v>47</v>
      </c>
      <c r="CA81" s="34">
        <v>70</v>
      </c>
      <c r="CB81" s="34">
        <v>45</v>
      </c>
      <c r="CC81" s="34">
        <v>39</v>
      </c>
      <c r="CD81" s="34">
        <v>70</v>
      </c>
      <c r="CE81" s="34">
        <v>8</v>
      </c>
      <c r="CF81" s="34">
        <v>17</v>
      </c>
      <c r="CG81" s="34">
        <v>33</v>
      </c>
      <c r="CH81" s="34">
        <v>51</v>
      </c>
      <c r="CI81" s="34">
        <v>33</v>
      </c>
      <c r="CJ81" s="34">
        <v>14</v>
      </c>
      <c r="CK81" s="34">
        <v>2</v>
      </c>
      <c r="CL81" s="34">
        <v>39</v>
      </c>
      <c r="CM81" s="34">
        <v>30</v>
      </c>
      <c r="CN81" s="34">
        <v>28</v>
      </c>
      <c r="CO81" s="34">
        <v>12</v>
      </c>
      <c r="CP81" s="34">
        <v>2</v>
      </c>
      <c r="CQ81" s="34">
        <v>37</v>
      </c>
      <c r="CR81" s="34">
        <v>18</v>
      </c>
      <c r="CS81" s="34">
        <v>7</v>
      </c>
      <c r="CT81" s="34">
        <v>1</v>
      </c>
      <c r="CU81" s="34">
        <v>5</v>
      </c>
      <c r="CV81" s="34">
        <v>12</v>
      </c>
      <c r="CW81" s="34">
        <v>4</v>
      </c>
      <c r="CX81" s="34">
        <v>5</v>
      </c>
      <c r="CY81" s="34">
        <v>12</v>
      </c>
      <c r="CZ81" s="34">
        <v>5</v>
      </c>
      <c r="DA81" s="34">
        <v>0</v>
      </c>
      <c r="DB81" s="34">
        <v>2</v>
      </c>
      <c r="DC81" s="34">
        <v>1</v>
      </c>
      <c r="DD81" s="34">
        <v>2</v>
      </c>
      <c r="DE81" s="34">
        <v>0</v>
      </c>
      <c r="DF81" s="34">
        <v>4</v>
      </c>
      <c r="DG81" s="34">
        <v>0</v>
      </c>
      <c r="DH81" s="34">
        <v>0</v>
      </c>
      <c r="DI81" s="34">
        <v>0</v>
      </c>
      <c r="DJ81" s="34">
        <v>0</v>
      </c>
      <c r="DK81" s="34">
        <v>4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17">
        <f t="shared" si="16"/>
        <v>0</v>
      </c>
      <c r="EE81" s="110">
        <f t="shared" si="15"/>
        <v>8</v>
      </c>
      <c r="EF81" s="108">
        <f>(ED81*4)-EE81</f>
        <v>-8</v>
      </c>
      <c r="EG81" s="111"/>
      <c r="EH81" s="104">
        <v>0</v>
      </c>
      <c r="EI81" s="10" t="s">
        <v>163</v>
      </c>
      <c r="EJ81" s="116" t="s">
        <v>407</v>
      </c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74">
        <f t="shared" si="13"/>
        <v>0</v>
      </c>
      <c r="FT81" s="4"/>
      <c r="FU81" s="4"/>
      <c r="FV81" s="4"/>
      <c r="FW81" s="4"/>
      <c r="FX81" s="4"/>
      <c r="FY81" s="4"/>
      <c r="FZ81" s="4"/>
      <c r="GA81" s="4"/>
      <c r="GB81" s="4"/>
      <c r="GC81" s="4"/>
    </row>
    <row r="82" spans="1:185" hidden="1">
      <c r="A82" s="12">
        <v>79</v>
      </c>
      <c r="B82" s="15" t="s">
        <v>22</v>
      </c>
      <c r="C82" s="15" t="s">
        <v>165</v>
      </c>
      <c r="D82" s="15">
        <v>12</v>
      </c>
      <c r="E82" s="15" t="s">
        <v>138</v>
      </c>
      <c r="F82" s="15">
        <v>1</v>
      </c>
      <c r="G82" s="15" t="s">
        <v>25</v>
      </c>
      <c r="H82" s="15">
        <v>885120</v>
      </c>
      <c r="I82" s="15" t="s">
        <v>26</v>
      </c>
      <c r="J82" s="16">
        <v>39</v>
      </c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0</v>
      </c>
      <c r="BM82" s="34">
        <v>36</v>
      </c>
      <c r="BN82" s="34">
        <v>6</v>
      </c>
      <c r="BO82" s="34">
        <v>57</v>
      </c>
      <c r="BP82" s="34">
        <v>39</v>
      </c>
      <c r="BQ82" s="34">
        <v>28</v>
      </c>
      <c r="BR82" s="34">
        <v>5</v>
      </c>
      <c r="BS82" s="34">
        <v>30</v>
      </c>
      <c r="BT82" s="34">
        <v>24</v>
      </c>
      <c r="BU82" s="34">
        <v>14</v>
      </c>
      <c r="BV82" s="34">
        <v>3</v>
      </c>
      <c r="BW82" s="34">
        <v>44</v>
      </c>
      <c r="BX82" s="34">
        <v>23</v>
      </c>
      <c r="BY82" s="34">
        <v>6</v>
      </c>
      <c r="BZ82" s="34">
        <v>7</v>
      </c>
      <c r="CA82" s="34">
        <v>31</v>
      </c>
      <c r="CB82" s="34">
        <v>11</v>
      </c>
      <c r="CC82" s="34">
        <v>12</v>
      </c>
      <c r="CD82" s="34">
        <v>12</v>
      </c>
      <c r="CE82" s="34">
        <v>0</v>
      </c>
      <c r="CF82" s="34">
        <v>34</v>
      </c>
      <c r="CG82" s="34">
        <v>8</v>
      </c>
      <c r="CH82" s="34">
        <v>6</v>
      </c>
      <c r="CI82" s="34">
        <v>35</v>
      </c>
      <c r="CJ82" s="34">
        <v>10</v>
      </c>
      <c r="CK82" s="34">
        <v>0</v>
      </c>
      <c r="CL82" s="34">
        <v>7</v>
      </c>
      <c r="CM82" s="34">
        <v>17</v>
      </c>
      <c r="CN82" s="34">
        <v>8</v>
      </c>
      <c r="CO82" s="34">
        <v>6</v>
      </c>
      <c r="CP82" s="34">
        <v>2</v>
      </c>
      <c r="CQ82" s="34">
        <v>12</v>
      </c>
      <c r="CR82" s="34">
        <v>0</v>
      </c>
      <c r="CS82" s="34">
        <v>0</v>
      </c>
      <c r="CT82" s="34">
        <v>0</v>
      </c>
      <c r="CU82" s="34">
        <v>0</v>
      </c>
      <c r="CV82" s="34">
        <v>2</v>
      </c>
      <c r="CW82" s="34">
        <v>0</v>
      </c>
      <c r="CX82" s="34">
        <v>4</v>
      </c>
      <c r="CY82" s="34">
        <v>14</v>
      </c>
      <c r="CZ82" s="34">
        <v>3</v>
      </c>
      <c r="DA82" s="34">
        <v>136</v>
      </c>
      <c r="DB82" s="34">
        <v>64</v>
      </c>
      <c r="DC82" s="34">
        <v>32</v>
      </c>
      <c r="DD82" s="34">
        <v>19</v>
      </c>
      <c r="DE82" s="34">
        <v>5</v>
      </c>
      <c r="DF82" s="34">
        <v>7</v>
      </c>
      <c r="DG82" s="34">
        <v>15</v>
      </c>
      <c r="DH82" s="34">
        <v>4</v>
      </c>
      <c r="DI82" s="34">
        <v>1</v>
      </c>
      <c r="DJ82" s="34">
        <v>12</v>
      </c>
      <c r="DK82" s="34">
        <v>4</v>
      </c>
      <c r="DL82" s="34">
        <v>1</v>
      </c>
      <c r="DM82" s="34">
        <v>0</v>
      </c>
      <c r="DN82" s="34">
        <v>0</v>
      </c>
      <c r="DO82" s="34">
        <v>7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2</v>
      </c>
      <c r="DV82" s="34">
        <v>0</v>
      </c>
      <c r="DW82" s="34">
        <v>0</v>
      </c>
      <c r="DX82" s="34">
        <v>0</v>
      </c>
      <c r="DY82" s="34">
        <v>0</v>
      </c>
      <c r="DZ82" s="34">
        <v>1</v>
      </c>
      <c r="EA82" s="34">
        <v>0</v>
      </c>
      <c r="EB82" s="34">
        <v>0</v>
      </c>
      <c r="EC82" s="34">
        <v>0</v>
      </c>
      <c r="ED82" s="17">
        <f t="shared" si="16"/>
        <v>0.25</v>
      </c>
      <c r="EE82" s="17">
        <f t="shared" si="15"/>
        <v>38.75</v>
      </c>
      <c r="EF82" s="16">
        <f>(ED82*4)-EE82</f>
        <v>-37.75</v>
      </c>
      <c r="EG82" s="18"/>
      <c r="EH82" s="12">
        <v>0</v>
      </c>
      <c r="EI82" s="10" t="s">
        <v>163</v>
      </c>
      <c r="EJ82" s="4" t="s">
        <v>407</v>
      </c>
      <c r="FR82" s="74">
        <f t="shared" si="13"/>
        <v>0</v>
      </c>
    </row>
    <row r="83" spans="1:185" hidden="1">
      <c r="A83" s="12">
        <v>80</v>
      </c>
      <c r="B83" s="15" t="s">
        <v>22</v>
      </c>
      <c r="C83" s="15" t="s">
        <v>166</v>
      </c>
      <c r="D83" s="15">
        <v>20</v>
      </c>
      <c r="E83" s="15" t="s">
        <v>138</v>
      </c>
      <c r="F83" s="15">
        <v>0.5</v>
      </c>
      <c r="G83" s="15" t="s">
        <v>25</v>
      </c>
      <c r="H83" s="15">
        <v>869081</v>
      </c>
      <c r="I83" s="15" t="s">
        <v>26</v>
      </c>
      <c r="J83" s="16">
        <v>0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</v>
      </c>
      <c r="BN83" s="34">
        <v>0</v>
      </c>
      <c r="BO83" s="34">
        <v>0</v>
      </c>
      <c r="BP83" s="34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0</v>
      </c>
      <c r="BW83" s="34">
        <v>0</v>
      </c>
      <c r="BX83" s="34">
        <v>0</v>
      </c>
      <c r="BY83" s="34">
        <v>0</v>
      </c>
      <c r="BZ83" s="34">
        <v>0</v>
      </c>
      <c r="CA83" s="34">
        <v>0</v>
      </c>
      <c r="CB83" s="34">
        <v>0</v>
      </c>
      <c r="CC83" s="34">
        <v>0</v>
      </c>
      <c r="CD83" s="34">
        <v>0</v>
      </c>
      <c r="CE83" s="34">
        <v>0</v>
      </c>
      <c r="CF83" s="34">
        <v>0</v>
      </c>
      <c r="CG83" s="34">
        <v>0</v>
      </c>
      <c r="CH83" s="34">
        <v>0</v>
      </c>
      <c r="CI83" s="34">
        <v>0</v>
      </c>
      <c r="CJ83" s="34">
        <v>0</v>
      </c>
      <c r="CK83" s="34">
        <v>0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>
        <v>0</v>
      </c>
      <c r="CS83" s="34">
        <v>0</v>
      </c>
      <c r="CT83" s="34">
        <v>0</v>
      </c>
      <c r="CU83" s="34">
        <v>0</v>
      </c>
      <c r="CV83" s="34">
        <v>0</v>
      </c>
      <c r="CW83" s="34">
        <v>0</v>
      </c>
      <c r="CX83" s="34">
        <v>0</v>
      </c>
      <c r="CY83" s="34">
        <v>0</v>
      </c>
      <c r="CZ83" s="34">
        <v>0</v>
      </c>
      <c r="DA83" s="34">
        <v>0</v>
      </c>
      <c r="DB83" s="34">
        <v>0</v>
      </c>
      <c r="DC83" s="34">
        <v>0</v>
      </c>
      <c r="DD83" s="34">
        <v>0</v>
      </c>
      <c r="DE83" s="34">
        <v>0</v>
      </c>
      <c r="DF83" s="34">
        <v>0</v>
      </c>
      <c r="DG83" s="34">
        <v>0</v>
      </c>
      <c r="DH83" s="34">
        <v>0</v>
      </c>
      <c r="DI83" s="34">
        <v>0</v>
      </c>
      <c r="DJ83" s="34">
        <v>0</v>
      </c>
      <c r="DK83" s="34">
        <v>0</v>
      </c>
      <c r="DL83" s="34">
        <v>0</v>
      </c>
      <c r="DM83" s="34">
        <v>0</v>
      </c>
      <c r="DN83" s="34">
        <v>0</v>
      </c>
      <c r="DO83" s="34">
        <v>0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0</v>
      </c>
      <c r="DV83" s="34">
        <v>0</v>
      </c>
      <c r="DW83" s="34">
        <v>0</v>
      </c>
      <c r="DX83" s="34">
        <v>0</v>
      </c>
      <c r="DY83" s="34">
        <v>0</v>
      </c>
      <c r="DZ83" s="34">
        <v>0</v>
      </c>
      <c r="EA83" s="34">
        <v>0</v>
      </c>
      <c r="EB83" s="34">
        <v>0</v>
      </c>
      <c r="EC83" s="34">
        <v>0</v>
      </c>
      <c r="ED83" s="17">
        <f t="shared" si="16"/>
        <v>0</v>
      </c>
      <c r="EE83" s="17">
        <f t="shared" si="15"/>
        <v>0</v>
      </c>
      <c r="EF83" s="16">
        <f t="shared" si="24"/>
        <v>0</v>
      </c>
      <c r="EG83" s="18"/>
      <c r="EH83" s="12">
        <v>0</v>
      </c>
      <c r="EJ83" s="4" t="s">
        <v>95</v>
      </c>
      <c r="FR83" s="74">
        <f t="shared" si="13"/>
        <v>0</v>
      </c>
    </row>
    <row r="84" spans="1:185" hidden="1">
      <c r="A84" s="12">
        <v>81</v>
      </c>
      <c r="B84" s="15" t="s">
        <v>22</v>
      </c>
      <c r="C84" s="15" t="s">
        <v>167</v>
      </c>
      <c r="D84" s="15">
        <v>1</v>
      </c>
      <c r="E84" s="15" t="s">
        <v>138</v>
      </c>
      <c r="F84" s="15">
        <v>200</v>
      </c>
      <c r="G84" s="15" t="s">
        <v>25</v>
      </c>
      <c r="H84" s="15">
        <v>803820</v>
      </c>
      <c r="I84" s="15" t="s">
        <v>28</v>
      </c>
      <c r="J84" s="16">
        <v>0</v>
      </c>
      <c r="K84" s="82"/>
      <c r="L84" s="82"/>
      <c r="M84" s="82"/>
      <c r="N84" s="68"/>
      <c r="O84" s="68"/>
      <c r="P84" s="68"/>
      <c r="Q84" s="68"/>
      <c r="R84" s="68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1</v>
      </c>
      <c r="BL84" s="34">
        <v>9</v>
      </c>
      <c r="BM84" s="34">
        <v>2</v>
      </c>
      <c r="BN84" s="34">
        <v>20</v>
      </c>
      <c r="BO84" s="34">
        <v>15</v>
      </c>
      <c r="BP84" s="34">
        <v>3</v>
      </c>
      <c r="BQ84" s="34">
        <v>2</v>
      </c>
      <c r="BR84" s="34">
        <v>2</v>
      </c>
      <c r="BS84" s="34">
        <v>2</v>
      </c>
      <c r="BT84" s="34">
        <v>4</v>
      </c>
      <c r="BU84" s="34">
        <v>5</v>
      </c>
      <c r="BV84" s="34">
        <v>4</v>
      </c>
      <c r="BW84" s="34">
        <v>6</v>
      </c>
      <c r="BX84" s="34">
        <v>7</v>
      </c>
      <c r="BY84" s="34">
        <v>3</v>
      </c>
      <c r="BZ84" s="34">
        <v>4</v>
      </c>
      <c r="CA84" s="34">
        <v>7</v>
      </c>
      <c r="CB84" s="34">
        <v>4</v>
      </c>
      <c r="CC84" s="34">
        <v>4</v>
      </c>
      <c r="CD84" s="34">
        <v>9</v>
      </c>
      <c r="CE84" s="34">
        <v>0</v>
      </c>
      <c r="CF84" s="34">
        <v>2</v>
      </c>
      <c r="CG84" s="34">
        <v>4</v>
      </c>
      <c r="CH84" s="34">
        <v>0</v>
      </c>
      <c r="CI84" s="34">
        <v>5</v>
      </c>
      <c r="CJ84" s="34">
        <v>4</v>
      </c>
      <c r="CK84" s="34">
        <v>0</v>
      </c>
      <c r="CL84" s="34">
        <v>2</v>
      </c>
      <c r="CM84" s="34">
        <v>9</v>
      </c>
      <c r="CN84" s="34">
        <v>4</v>
      </c>
      <c r="CO84" s="34">
        <v>2</v>
      </c>
      <c r="CP84" s="34">
        <v>0</v>
      </c>
      <c r="CQ84" s="34">
        <v>4</v>
      </c>
      <c r="CR84" s="34">
        <v>4</v>
      </c>
      <c r="CS84" s="34">
        <v>2</v>
      </c>
      <c r="CT84" s="34">
        <v>0</v>
      </c>
      <c r="CU84" s="34">
        <v>0</v>
      </c>
      <c r="CV84" s="34">
        <v>0</v>
      </c>
      <c r="CW84" s="34">
        <v>4</v>
      </c>
      <c r="CX84" s="34">
        <v>0</v>
      </c>
      <c r="CY84" s="34">
        <v>0</v>
      </c>
      <c r="CZ84" s="34">
        <v>0</v>
      </c>
      <c r="DA84" s="34">
        <v>0</v>
      </c>
      <c r="DB84" s="34">
        <v>1</v>
      </c>
      <c r="DC84" s="34">
        <v>1</v>
      </c>
      <c r="DD84" s="34">
        <v>1</v>
      </c>
      <c r="DE84" s="34">
        <v>4</v>
      </c>
      <c r="DF84" s="34">
        <v>4</v>
      </c>
      <c r="DG84" s="34">
        <v>66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17">
        <f t="shared" si="16"/>
        <v>0</v>
      </c>
      <c r="EE84" s="17">
        <f t="shared" si="15"/>
        <v>0</v>
      </c>
      <c r="EF84" s="16">
        <f t="shared" ref="EF84" si="25">(ED84*2)-EE84</f>
        <v>0</v>
      </c>
      <c r="EG84" s="18"/>
      <c r="EH84" s="12">
        <v>0</v>
      </c>
      <c r="EJ84" s="4" t="s">
        <v>423</v>
      </c>
      <c r="FR84" s="74">
        <f t="shared" si="13"/>
        <v>0</v>
      </c>
    </row>
    <row r="85" spans="1:185" hidden="1">
      <c r="A85" s="12">
        <v>82</v>
      </c>
      <c r="B85" s="15" t="s">
        <v>22</v>
      </c>
      <c r="C85" s="15" t="s">
        <v>168</v>
      </c>
      <c r="D85" s="15">
        <v>4</v>
      </c>
      <c r="E85" s="15" t="s">
        <v>138</v>
      </c>
      <c r="F85" s="15">
        <v>5</v>
      </c>
      <c r="G85" s="15" t="s">
        <v>25</v>
      </c>
      <c r="H85" s="15">
        <v>868206</v>
      </c>
      <c r="I85" s="15" t="s">
        <v>26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0</v>
      </c>
      <c r="BO85" s="34">
        <v>0</v>
      </c>
      <c r="BP85" s="34">
        <v>0</v>
      </c>
      <c r="BQ85" s="34">
        <v>0</v>
      </c>
      <c r="BR85" s="34">
        <v>0</v>
      </c>
      <c r="BS85" s="34">
        <v>0</v>
      </c>
      <c r="BT85" s="34">
        <v>0</v>
      </c>
      <c r="BU85" s="34">
        <v>0</v>
      </c>
      <c r="BV85" s="34">
        <v>0</v>
      </c>
      <c r="BW85" s="34">
        <v>0</v>
      </c>
      <c r="BX85" s="34">
        <v>0</v>
      </c>
      <c r="BY85" s="34">
        <v>0</v>
      </c>
      <c r="BZ85" s="34">
        <v>0</v>
      </c>
      <c r="CA85" s="34">
        <v>0</v>
      </c>
      <c r="CB85" s="34">
        <v>0</v>
      </c>
      <c r="CC85" s="34">
        <v>0</v>
      </c>
      <c r="CD85" s="34">
        <v>0</v>
      </c>
      <c r="CE85" s="34">
        <v>0</v>
      </c>
      <c r="CF85" s="34">
        <v>0</v>
      </c>
      <c r="CG85" s="34">
        <v>0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0</v>
      </c>
      <c r="CO85" s="34">
        <v>0</v>
      </c>
      <c r="CP85" s="34">
        <v>0</v>
      </c>
      <c r="CQ85" s="34">
        <v>0</v>
      </c>
      <c r="CR85" s="34">
        <v>0</v>
      </c>
      <c r="CS85" s="34">
        <v>0</v>
      </c>
      <c r="CT85" s="34">
        <v>0</v>
      </c>
      <c r="CU85" s="34">
        <v>0</v>
      </c>
      <c r="CV85" s="34">
        <v>0</v>
      </c>
      <c r="CW85" s="34">
        <v>0</v>
      </c>
      <c r="CX85" s="34">
        <v>0</v>
      </c>
      <c r="CY85" s="34">
        <v>0</v>
      </c>
      <c r="CZ85" s="34">
        <v>0</v>
      </c>
      <c r="DA85" s="34">
        <v>0</v>
      </c>
      <c r="DB85" s="34">
        <v>0</v>
      </c>
      <c r="DC85" s="34">
        <v>0</v>
      </c>
      <c r="DD85" s="34">
        <v>0</v>
      </c>
      <c r="DE85" s="34">
        <v>0</v>
      </c>
      <c r="DF85" s="34">
        <v>0</v>
      </c>
      <c r="DG85" s="34">
        <v>0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17">
        <f t="shared" si="16"/>
        <v>0</v>
      </c>
      <c r="EE85" s="17">
        <f t="shared" si="15"/>
        <v>0</v>
      </c>
      <c r="EF85" s="16">
        <f t="shared" ref="EF85" si="26">(ED85*2)-EE85</f>
        <v>0</v>
      </c>
      <c r="EG85" s="18"/>
      <c r="EH85" s="12">
        <v>0</v>
      </c>
      <c r="FR85" s="74">
        <f t="shared" si="13"/>
        <v>0</v>
      </c>
    </row>
    <row r="86" spans="1:185" hidden="1">
      <c r="A86" s="12">
        <v>83</v>
      </c>
      <c r="B86" s="15" t="s">
        <v>22</v>
      </c>
      <c r="C86" s="15" t="s">
        <v>351</v>
      </c>
      <c r="D86" s="15">
        <v>1</v>
      </c>
      <c r="E86" s="15" t="s">
        <v>138</v>
      </c>
      <c r="F86" s="15">
        <v>180</v>
      </c>
      <c r="G86" s="15" t="s">
        <v>36</v>
      </c>
      <c r="H86" s="15">
        <v>874950</v>
      </c>
      <c r="I86" s="15" t="s">
        <v>28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4</v>
      </c>
      <c r="BW86" s="34">
        <v>0</v>
      </c>
      <c r="BX86" s="34">
        <v>4</v>
      </c>
      <c r="BY86" s="34">
        <v>4</v>
      </c>
      <c r="BZ86" s="34">
        <v>0</v>
      </c>
      <c r="CA86" s="34">
        <v>0</v>
      </c>
      <c r="CB86" s="34">
        <v>0</v>
      </c>
      <c r="CC86" s="34">
        <v>1</v>
      </c>
      <c r="CD86" s="34">
        <v>1</v>
      </c>
      <c r="CE86" s="34">
        <v>0</v>
      </c>
      <c r="CF86" s="34">
        <v>0</v>
      </c>
      <c r="CG86" s="34">
        <v>0</v>
      </c>
      <c r="CH86" s="34">
        <v>0</v>
      </c>
      <c r="CI86" s="34">
        <v>1</v>
      </c>
      <c r="CJ86" s="34">
        <v>0</v>
      </c>
      <c r="CK86" s="34">
        <v>0</v>
      </c>
      <c r="CL86" s="34">
        <v>1</v>
      </c>
      <c r="CM86" s="34">
        <v>0</v>
      </c>
      <c r="CN86" s="34">
        <v>4</v>
      </c>
      <c r="CO86" s="34">
        <v>0</v>
      </c>
      <c r="CP86" s="34">
        <v>0</v>
      </c>
      <c r="CQ86" s="34">
        <v>0</v>
      </c>
      <c r="CR86" s="34">
        <v>0</v>
      </c>
      <c r="CS86" s="34">
        <v>1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1</v>
      </c>
      <c r="DC86" s="34">
        <v>0</v>
      </c>
      <c r="DD86" s="34">
        <v>0</v>
      </c>
      <c r="DE86" s="34">
        <v>0</v>
      </c>
      <c r="DF86" s="34">
        <v>0</v>
      </c>
      <c r="DG86" s="34">
        <v>1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2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17">
        <f t="shared" si="16"/>
        <v>0</v>
      </c>
      <c r="EE86" s="17">
        <f t="shared" si="15"/>
        <v>0</v>
      </c>
      <c r="EF86" s="16">
        <f>(ED86*4)-EE86</f>
        <v>0</v>
      </c>
      <c r="EG86" s="18"/>
      <c r="EH86" s="12">
        <v>0</v>
      </c>
      <c r="EJ86" s="4" t="s">
        <v>93</v>
      </c>
      <c r="FR86" s="74">
        <f t="shared" si="13"/>
        <v>0</v>
      </c>
    </row>
    <row r="87" spans="1:185" hidden="1">
      <c r="A87" s="12">
        <v>84</v>
      </c>
      <c r="B87" s="15" t="s">
        <v>22</v>
      </c>
      <c r="C87" s="12" t="s">
        <v>49</v>
      </c>
      <c r="D87" s="15">
        <v>1</v>
      </c>
      <c r="E87" s="15" t="s">
        <v>138</v>
      </c>
      <c r="F87" s="19">
        <v>18</v>
      </c>
      <c r="G87" s="15" t="s">
        <v>25</v>
      </c>
      <c r="H87" s="70">
        <v>881285</v>
      </c>
      <c r="I87" s="15" t="s">
        <v>29</v>
      </c>
      <c r="J87" s="16">
        <v>17</v>
      </c>
      <c r="K87" s="20"/>
      <c r="L87" s="20"/>
      <c r="M87" s="20">
        <f>120+120</f>
        <v>240</v>
      </c>
      <c r="N87" s="68"/>
      <c r="O87" s="68"/>
      <c r="P87" s="68"/>
      <c r="Q87" s="68"/>
      <c r="R87" s="68"/>
      <c r="S87" s="12">
        <f>100</f>
        <v>100</v>
      </c>
      <c r="T87" s="12">
        <v>50</v>
      </c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2</v>
      </c>
      <c r="BL87" s="34">
        <v>2</v>
      </c>
      <c r="BM87" s="34">
        <v>0</v>
      </c>
      <c r="BN87" s="34">
        <v>0</v>
      </c>
      <c r="BO87" s="34">
        <v>32</v>
      </c>
      <c r="BP87" s="34">
        <v>0</v>
      </c>
      <c r="BQ87" s="34">
        <v>4</v>
      </c>
      <c r="BR87" s="34">
        <v>0</v>
      </c>
      <c r="BS87" s="34">
        <v>0</v>
      </c>
      <c r="BT87" s="34">
        <v>0</v>
      </c>
      <c r="BU87" s="34">
        <v>3</v>
      </c>
      <c r="BV87" s="34">
        <v>0</v>
      </c>
      <c r="BW87" s="34">
        <v>0</v>
      </c>
      <c r="BX87" s="34">
        <v>4</v>
      </c>
      <c r="BY87" s="34">
        <v>2</v>
      </c>
      <c r="BZ87" s="34">
        <v>5</v>
      </c>
      <c r="CA87" s="34">
        <v>1</v>
      </c>
      <c r="CB87" s="34">
        <v>63</v>
      </c>
      <c r="CC87" s="34">
        <v>3</v>
      </c>
      <c r="CD87" s="34">
        <v>20</v>
      </c>
      <c r="CE87" s="34">
        <v>10</v>
      </c>
      <c r="CF87" s="34">
        <v>8</v>
      </c>
      <c r="CG87" s="34">
        <v>2</v>
      </c>
      <c r="CH87" s="34">
        <v>7</v>
      </c>
      <c r="CI87" s="34">
        <v>46</v>
      </c>
      <c r="CJ87" s="34">
        <v>7</v>
      </c>
      <c r="CK87" s="34">
        <v>32</v>
      </c>
      <c r="CL87" s="34">
        <v>0</v>
      </c>
      <c r="CM87" s="34">
        <v>29</v>
      </c>
      <c r="CN87" s="34">
        <v>1</v>
      </c>
      <c r="CO87" s="34">
        <v>2</v>
      </c>
      <c r="CP87" s="34">
        <v>3</v>
      </c>
      <c r="CQ87" s="34">
        <v>6</v>
      </c>
      <c r="CR87" s="34">
        <v>6</v>
      </c>
      <c r="CS87" s="34">
        <v>6</v>
      </c>
      <c r="CT87" s="34">
        <v>1</v>
      </c>
      <c r="CU87" s="34">
        <v>3</v>
      </c>
      <c r="CV87" s="34">
        <v>6</v>
      </c>
      <c r="CW87" s="34">
        <v>1</v>
      </c>
      <c r="CX87" s="34">
        <v>3</v>
      </c>
      <c r="CY87" s="34">
        <v>1</v>
      </c>
      <c r="CZ87" s="34">
        <v>8</v>
      </c>
      <c r="DA87" s="34">
        <v>10</v>
      </c>
      <c r="DB87" s="34">
        <v>26</v>
      </c>
      <c r="DC87" s="34">
        <v>1</v>
      </c>
      <c r="DD87" s="34">
        <v>16</v>
      </c>
      <c r="DE87" s="34">
        <v>47</v>
      </c>
      <c r="DF87" s="34">
        <v>10</v>
      </c>
      <c r="DG87" s="34">
        <v>4</v>
      </c>
      <c r="DH87" s="34">
        <v>2</v>
      </c>
      <c r="DI87" s="34">
        <v>18</v>
      </c>
      <c r="DJ87" s="34">
        <v>53</v>
      </c>
      <c r="DK87" s="34">
        <v>1</v>
      </c>
      <c r="DL87" s="34">
        <v>70</v>
      </c>
      <c r="DM87" s="34">
        <v>26</v>
      </c>
      <c r="DN87" s="34">
        <v>71</v>
      </c>
      <c r="DO87" s="34">
        <v>82</v>
      </c>
      <c r="DP87" s="34">
        <v>65</v>
      </c>
      <c r="DQ87" s="34">
        <v>5</v>
      </c>
      <c r="DR87" s="34">
        <v>70</v>
      </c>
      <c r="DS87" s="34">
        <v>26</v>
      </c>
      <c r="DT87" s="34">
        <v>20</v>
      </c>
      <c r="DU87" s="34">
        <v>32</v>
      </c>
      <c r="DV87" s="34">
        <v>9</v>
      </c>
      <c r="DW87" s="34">
        <v>6</v>
      </c>
      <c r="DX87" s="34">
        <v>11</v>
      </c>
      <c r="DY87" s="34">
        <v>12</v>
      </c>
      <c r="DZ87" s="34">
        <v>56</v>
      </c>
      <c r="EA87" s="34">
        <v>24</v>
      </c>
      <c r="EB87" s="34">
        <v>72</v>
      </c>
      <c r="EC87" s="34">
        <v>8</v>
      </c>
      <c r="ED87" s="17">
        <f t="shared" si="16"/>
        <v>40</v>
      </c>
      <c r="EE87" s="17">
        <f t="shared" si="15"/>
        <v>67</v>
      </c>
      <c r="EF87" s="16">
        <f>(ED87*4)-EE87</f>
        <v>93</v>
      </c>
      <c r="EG87" s="18"/>
      <c r="EH87" s="12">
        <f>24*5</f>
        <v>120</v>
      </c>
      <c r="EJ87" s="4" t="s">
        <v>127</v>
      </c>
      <c r="FR87" s="74">
        <f t="shared" si="13"/>
        <v>2160</v>
      </c>
      <c r="FV87" s="4">
        <f>27*2</f>
        <v>54</v>
      </c>
    </row>
    <row r="88" spans="1:185" hidden="1">
      <c r="A88" s="12">
        <v>85</v>
      </c>
      <c r="B88" s="15" t="s">
        <v>22</v>
      </c>
      <c r="C88" s="12" t="s">
        <v>386</v>
      </c>
      <c r="D88" s="15">
        <v>1</v>
      </c>
      <c r="E88" s="15" t="s">
        <v>138</v>
      </c>
      <c r="F88" s="19">
        <v>200</v>
      </c>
      <c r="G88" s="15" t="s">
        <v>25</v>
      </c>
      <c r="H88" s="70">
        <v>692082</v>
      </c>
      <c r="I88" s="15" t="s">
        <v>28</v>
      </c>
      <c r="J88" s="16">
        <v>0</v>
      </c>
      <c r="K88" s="86"/>
      <c r="L88" s="86"/>
      <c r="M88" s="86"/>
      <c r="N88" s="68"/>
      <c r="O88" s="68"/>
      <c r="P88" s="68"/>
      <c r="Q88" s="68"/>
      <c r="R88" s="68"/>
      <c r="S88" s="68"/>
      <c r="T88" s="68"/>
      <c r="U88" s="47"/>
      <c r="V88" s="47"/>
      <c r="W88" s="47"/>
      <c r="X88" s="47"/>
      <c r="Y88" s="47"/>
      <c r="Z88" s="47"/>
      <c r="AA88" s="47"/>
      <c r="AB88" s="47"/>
      <c r="AC88" s="69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0</v>
      </c>
      <c r="BL88" s="34">
        <v>0</v>
      </c>
      <c r="BM88" s="34">
        <v>0</v>
      </c>
      <c r="BN88" s="34">
        <v>0</v>
      </c>
      <c r="BO88" s="34">
        <v>0</v>
      </c>
      <c r="BP88" s="34">
        <v>0</v>
      </c>
      <c r="BQ88" s="34">
        <v>0</v>
      </c>
      <c r="BR88" s="34">
        <v>0</v>
      </c>
      <c r="BS88" s="34">
        <v>0</v>
      </c>
      <c r="BT88" s="34">
        <v>0</v>
      </c>
      <c r="BU88" s="34">
        <v>0</v>
      </c>
      <c r="BV88" s="34">
        <v>0</v>
      </c>
      <c r="BW88" s="34">
        <v>0</v>
      </c>
      <c r="BX88" s="34">
        <v>0</v>
      </c>
      <c r="BY88" s="34">
        <v>0</v>
      </c>
      <c r="BZ88" s="34">
        <v>0</v>
      </c>
      <c r="CA88" s="34">
        <v>0</v>
      </c>
      <c r="CB88" s="34">
        <v>0</v>
      </c>
      <c r="CC88" s="34">
        <v>0</v>
      </c>
      <c r="CD88" s="34">
        <v>0</v>
      </c>
      <c r="CE88" s="34">
        <v>0</v>
      </c>
      <c r="CF88" s="34">
        <v>0</v>
      </c>
      <c r="CG88" s="34">
        <v>0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>
        <v>0</v>
      </c>
      <c r="CS88" s="34">
        <v>0</v>
      </c>
      <c r="CT88" s="34">
        <v>0</v>
      </c>
      <c r="CU88" s="34">
        <v>0</v>
      </c>
      <c r="CV88" s="34">
        <v>0</v>
      </c>
      <c r="CW88" s="34">
        <v>11</v>
      </c>
      <c r="CX88" s="34">
        <v>3</v>
      </c>
      <c r="CY88" s="34">
        <v>1</v>
      </c>
      <c r="CZ88" s="34">
        <v>1</v>
      </c>
      <c r="DA88" s="34">
        <v>0</v>
      </c>
      <c r="DB88" s="34">
        <v>4</v>
      </c>
      <c r="DC88" s="34">
        <v>0</v>
      </c>
      <c r="DD88" s="34">
        <v>0</v>
      </c>
      <c r="DE88" s="34">
        <v>0</v>
      </c>
      <c r="DF88" s="34">
        <v>0</v>
      </c>
      <c r="DG88" s="34">
        <v>0</v>
      </c>
      <c r="DH88" s="34">
        <v>0</v>
      </c>
      <c r="DI88" s="34">
        <v>0</v>
      </c>
      <c r="DJ88" s="34">
        <v>0</v>
      </c>
      <c r="DK88" s="34">
        <v>0</v>
      </c>
      <c r="DL88" s="34">
        <v>0</v>
      </c>
      <c r="DM88" s="34">
        <v>0</v>
      </c>
      <c r="DN88" s="34">
        <v>0</v>
      </c>
      <c r="DO88" s="34">
        <v>0</v>
      </c>
      <c r="DP88" s="34">
        <v>0</v>
      </c>
      <c r="DQ88" s="34">
        <v>0</v>
      </c>
      <c r="DR88" s="34">
        <v>0</v>
      </c>
      <c r="DS88" s="34">
        <v>0</v>
      </c>
      <c r="DT88" s="34">
        <v>0</v>
      </c>
      <c r="DU88" s="34">
        <v>0</v>
      </c>
      <c r="DV88" s="34">
        <v>0</v>
      </c>
      <c r="DW88" s="34">
        <v>0</v>
      </c>
      <c r="DX88" s="34">
        <v>0</v>
      </c>
      <c r="DY88" s="34">
        <v>0</v>
      </c>
      <c r="DZ88" s="34">
        <v>0</v>
      </c>
      <c r="EA88" s="34">
        <v>0</v>
      </c>
      <c r="EB88" s="34">
        <v>0</v>
      </c>
      <c r="EC88" s="34">
        <v>0</v>
      </c>
      <c r="ED88" s="17">
        <f t="shared" si="16"/>
        <v>0</v>
      </c>
      <c r="EE88" s="17">
        <f t="shared" si="15"/>
        <v>0</v>
      </c>
      <c r="EF88" s="16">
        <f t="shared" ref="EF88" si="27">(ED88*2)-EE88</f>
        <v>0</v>
      </c>
      <c r="EH88" s="12">
        <v>0</v>
      </c>
      <c r="EJ88" s="4" t="s">
        <v>93</v>
      </c>
      <c r="FR88" s="74">
        <f t="shared" si="13"/>
        <v>0</v>
      </c>
    </row>
    <row r="89" spans="1:185" hidden="1">
      <c r="A89" s="12">
        <v>86</v>
      </c>
      <c r="B89" s="15" t="s">
        <v>22</v>
      </c>
      <c r="C89" s="12" t="s">
        <v>387</v>
      </c>
      <c r="D89" s="15">
        <v>1</v>
      </c>
      <c r="E89" s="15" t="s">
        <v>138</v>
      </c>
      <c r="F89" s="19">
        <v>200</v>
      </c>
      <c r="G89" s="15" t="s">
        <v>25</v>
      </c>
      <c r="H89" s="73">
        <v>692178</v>
      </c>
      <c r="I89" s="15" t="s">
        <v>28</v>
      </c>
      <c r="J89" s="16">
        <v>0</v>
      </c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1</v>
      </c>
      <c r="BU89" s="34">
        <v>1</v>
      </c>
      <c r="BV89" s="34">
        <v>0</v>
      </c>
      <c r="BW89" s="34">
        <v>1</v>
      </c>
      <c r="BX89" s="34">
        <v>0</v>
      </c>
      <c r="BY89" s="34">
        <v>0</v>
      </c>
      <c r="BZ89" s="34">
        <v>3</v>
      </c>
      <c r="CA89" s="34">
        <v>0</v>
      </c>
      <c r="CB89" s="34">
        <v>1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0</v>
      </c>
      <c r="CX89" s="34">
        <v>0</v>
      </c>
      <c r="CY89" s="34">
        <v>0</v>
      </c>
      <c r="CZ89" s="34">
        <v>0</v>
      </c>
      <c r="DA89" s="34">
        <v>0</v>
      </c>
      <c r="DB89" s="34">
        <v>0</v>
      </c>
      <c r="DC89" s="34">
        <v>0</v>
      </c>
      <c r="DD89" s="34">
        <v>0</v>
      </c>
      <c r="DE89" s="34">
        <v>0</v>
      </c>
      <c r="DF89" s="34">
        <v>1</v>
      </c>
      <c r="DG89" s="34">
        <v>0</v>
      </c>
      <c r="DH89" s="34">
        <v>12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17">
        <f t="shared" si="16"/>
        <v>0</v>
      </c>
      <c r="EE89" s="17">
        <f t="shared" si="15"/>
        <v>0</v>
      </c>
      <c r="EF89" s="16">
        <f t="shared" ref="EF89" si="28">(ED89*2)-EE89</f>
        <v>0</v>
      </c>
      <c r="EH89" s="12">
        <v>0</v>
      </c>
      <c r="EJ89" s="4" t="s">
        <v>426</v>
      </c>
      <c r="FR89" s="74">
        <f t="shared" si="13"/>
        <v>0</v>
      </c>
    </row>
    <row r="90" spans="1:185" hidden="1">
      <c r="A90" s="12">
        <v>87</v>
      </c>
      <c r="B90" s="15" t="s">
        <v>22</v>
      </c>
      <c r="C90" s="12" t="s">
        <v>388</v>
      </c>
      <c r="D90" s="15">
        <v>1</v>
      </c>
      <c r="E90" s="15" t="s">
        <v>24</v>
      </c>
      <c r="F90" s="19">
        <v>200</v>
      </c>
      <c r="G90" s="15" t="s">
        <v>25</v>
      </c>
      <c r="H90" s="70">
        <v>881568</v>
      </c>
      <c r="I90" s="71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0</v>
      </c>
      <c r="BU90" s="34">
        <v>0</v>
      </c>
      <c r="BV90" s="34">
        <v>0</v>
      </c>
      <c r="BW90" s="34">
        <v>0</v>
      </c>
      <c r="BX90" s="34">
        <v>0</v>
      </c>
      <c r="BY90" s="34">
        <v>0</v>
      </c>
      <c r="BZ90" s="34">
        <v>1</v>
      </c>
      <c r="CA90" s="34">
        <v>0</v>
      </c>
      <c r="CB90" s="34">
        <v>0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1</v>
      </c>
      <c r="DB90" s="34">
        <v>0</v>
      </c>
      <c r="DC90" s="34">
        <v>0</v>
      </c>
      <c r="DD90" s="34">
        <v>1</v>
      </c>
      <c r="DE90" s="34">
        <v>1</v>
      </c>
      <c r="DF90" s="34">
        <v>4</v>
      </c>
      <c r="DG90" s="34">
        <v>0</v>
      </c>
      <c r="DH90" s="34">
        <v>0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17">
        <f t="shared" si="16"/>
        <v>0</v>
      </c>
      <c r="EE90" s="17">
        <f t="shared" si="15"/>
        <v>0</v>
      </c>
      <c r="EF90" s="16">
        <f t="shared" ref="EF90" si="29">(ED90*2)-EE90</f>
        <v>0</v>
      </c>
      <c r="EH90" s="12">
        <v>0</v>
      </c>
      <c r="EJ90" s="4" t="s">
        <v>426</v>
      </c>
      <c r="FR90" s="74">
        <f t="shared" si="13"/>
        <v>0</v>
      </c>
    </row>
    <row r="91" spans="1:185" hidden="1">
      <c r="A91" s="12">
        <v>88</v>
      </c>
      <c r="B91" s="72" t="s">
        <v>391</v>
      </c>
      <c r="C91" s="12" t="s">
        <v>389</v>
      </c>
      <c r="D91" s="15">
        <v>12</v>
      </c>
      <c r="E91" s="15" t="s">
        <v>138</v>
      </c>
      <c r="F91" s="19">
        <v>14.5</v>
      </c>
      <c r="G91" s="15" t="s">
        <v>392</v>
      </c>
      <c r="H91" s="15" t="s">
        <v>390</v>
      </c>
      <c r="I91" s="15" t="s">
        <v>26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2</v>
      </c>
      <c r="BS91" s="34">
        <v>0</v>
      </c>
      <c r="BT91" s="34">
        <v>0</v>
      </c>
      <c r="BU91" s="34">
        <v>0</v>
      </c>
      <c r="BV91" s="34">
        <v>8</v>
      </c>
      <c r="BW91" s="34">
        <v>0</v>
      </c>
      <c r="BX91" s="34">
        <v>0</v>
      </c>
      <c r="BY91" s="34">
        <v>0</v>
      </c>
      <c r="BZ91" s="34">
        <v>15</v>
      </c>
      <c r="CA91" s="34">
        <v>0</v>
      </c>
      <c r="CB91" s="34">
        <v>8</v>
      </c>
      <c r="CC91" s="34">
        <v>4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4</v>
      </c>
      <c r="DB91" s="34">
        <v>10</v>
      </c>
      <c r="DC91" s="34">
        <v>0</v>
      </c>
      <c r="DD91" s="34">
        <v>0</v>
      </c>
      <c r="DE91" s="34">
        <v>10</v>
      </c>
      <c r="DF91" s="34">
        <v>12</v>
      </c>
      <c r="DG91" s="34">
        <v>25</v>
      </c>
      <c r="DH91" s="34">
        <v>0</v>
      </c>
      <c r="DI91" s="34">
        <v>0</v>
      </c>
      <c r="DJ91" s="34">
        <v>22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17">
        <f t="shared" si="16"/>
        <v>0</v>
      </c>
      <c r="EE91" s="17">
        <f t="shared" si="15"/>
        <v>0</v>
      </c>
      <c r="EF91" s="16">
        <f t="shared" ref="EF91" si="30">(ED91*2)-EE91</f>
        <v>0</v>
      </c>
      <c r="EH91" s="12">
        <v>0</v>
      </c>
      <c r="FR91" s="74">
        <f t="shared" si="13"/>
        <v>0</v>
      </c>
    </row>
    <row r="92" spans="1:185" hidden="1">
      <c r="A92" s="12">
        <v>89</v>
      </c>
      <c r="B92" s="15" t="s">
        <v>22</v>
      </c>
      <c r="C92" s="12" t="s">
        <v>396</v>
      </c>
      <c r="D92" s="15">
        <v>1</v>
      </c>
      <c r="E92" s="15" t="s">
        <v>24</v>
      </c>
      <c r="F92" s="19">
        <v>18</v>
      </c>
      <c r="G92" s="15" t="s">
        <v>25</v>
      </c>
      <c r="H92" s="15">
        <v>883082</v>
      </c>
      <c r="I92" s="15" t="s">
        <v>29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>
        <v>0</v>
      </c>
      <c r="BG92" s="47">
        <v>0</v>
      </c>
      <c r="BH92" s="47">
        <v>0</v>
      </c>
      <c r="BI92" s="47">
        <v>0</v>
      </c>
      <c r="BJ92" s="47">
        <v>0</v>
      </c>
      <c r="BK92" s="47">
        <v>0</v>
      </c>
      <c r="BL92" s="47">
        <v>0</v>
      </c>
      <c r="BM92" s="47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0</v>
      </c>
      <c r="DB92" s="34">
        <v>0</v>
      </c>
      <c r="DC92" s="34">
        <v>0</v>
      </c>
      <c r="DD92" s="34">
        <v>0</v>
      </c>
      <c r="DE92" s="34">
        <v>0</v>
      </c>
      <c r="DF92" s="34">
        <v>0</v>
      </c>
      <c r="DG92" s="34">
        <v>0</v>
      </c>
      <c r="DH92" s="34">
        <v>0</v>
      </c>
      <c r="DI92" s="34">
        <v>0</v>
      </c>
      <c r="DJ92" s="34">
        <v>0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17">
        <f t="shared" si="16"/>
        <v>0</v>
      </c>
      <c r="EE92" s="17">
        <f t="shared" si="15"/>
        <v>0</v>
      </c>
      <c r="EF92" s="16">
        <f t="shared" ref="EF92:EF93" si="31">(ED92*2)-EE92</f>
        <v>0</v>
      </c>
      <c r="EH92" s="12">
        <v>0</v>
      </c>
      <c r="EJ92" s="4" t="s">
        <v>114</v>
      </c>
      <c r="FR92" s="74">
        <f t="shared" si="13"/>
        <v>0</v>
      </c>
    </row>
    <row r="93" spans="1:185" hidden="1">
      <c r="A93" s="12">
        <v>90</v>
      </c>
      <c r="B93" s="72" t="s">
        <v>22</v>
      </c>
      <c r="C93" s="12" t="s">
        <v>401</v>
      </c>
      <c r="D93" s="15">
        <v>1</v>
      </c>
      <c r="E93" s="15" t="s">
        <v>24</v>
      </c>
      <c r="F93" s="19">
        <v>0.8</v>
      </c>
      <c r="G93" s="15" t="s">
        <v>25</v>
      </c>
      <c r="H93" s="15">
        <v>844601</v>
      </c>
      <c r="I93" s="15" t="s">
        <v>26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17">
        <f t="shared" si="16"/>
        <v>0</v>
      </c>
      <c r="EE93" s="17">
        <f t="shared" si="15"/>
        <v>0</v>
      </c>
      <c r="EF93" s="16">
        <f t="shared" si="31"/>
        <v>0</v>
      </c>
      <c r="EH93" s="12">
        <v>0</v>
      </c>
      <c r="EJ93" s="4" t="s">
        <v>427</v>
      </c>
      <c r="FR93" s="74">
        <f t="shared" si="13"/>
        <v>0</v>
      </c>
    </row>
    <row r="94" spans="1:185" hidden="1">
      <c r="A94" s="12">
        <v>91</v>
      </c>
      <c r="B94" s="72" t="s">
        <v>22</v>
      </c>
      <c r="C94" s="12" t="s">
        <v>408</v>
      </c>
      <c r="D94" s="15">
        <v>4</v>
      </c>
      <c r="E94" s="15" t="s">
        <v>24</v>
      </c>
      <c r="F94" s="19">
        <v>4</v>
      </c>
      <c r="G94" s="15" t="s">
        <v>25</v>
      </c>
      <c r="H94" s="15" t="s">
        <v>549</v>
      </c>
      <c r="I94" s="15" t="s">
        <v>26</v>
      </c>
      <c r="J94" s="16">
        <f>18+298</f>
        <v>316</v>
      </c>
      <c r="K94" s="20"/>
      <c r="L94" s="20">
        <f>288*4</f>
        <v>1152</v>
      </c>
      <c r="M94" s="20">
        <f>1152</f>
        <v>1152</v>
      </c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34"/>
      <c r="BO94" s="34"/>
      <c r="BP94" s="34"/>
      <c r="BQ94" s="34"/>
      <c r="BR94" s="34"/>
      <c r="BS94" s="34">
        <v>0</v>
      </c>
      <c r="BT94" s="34">
        <v>0</v>
      </c>
      <c r="BU94" s="34">
        <v>0</v>
      </c>
      <c r="BV94" s="34">
        <v>35</v>
      </c>
      <c r="BW94" s="34">
        <v>217</v>
      </c>
      <c r="BX94" s="34">
        <v>365</v>
      </c>
      <c r="BY94" s="34">
        <v>552</v>
      </c>
      <c r="BZ94" s="34">
        <v>383</v>
      </c>
      <c r="CA94" s="34">
        <v>330</v>
      </c>
      <c r="CB94" s="34">
        <v>491</v>
      </c>
      <c r="CC94" s="34">
        <v>358</v>
      </c>
      <c r="CD94" s="34">
        <v>361</v>
      </c>
      <c r="CE94" s="34">
        <v>27</v>
      </c>
      <c r="CF94" s="34">
        <v>219</v>
      </c>
      <c r="CG94" s="34">
        <v>357</v>
      </c>
      <c r="CH94" s="34">
        <v>412</v>
      </c>
      <c r="CI94" s="34">
        <v>518</v>
      </c>
      <c r="CJ94" s="34">
        <v>185</v>
      </c>
      <c r="CK94" s="34">
        <v>168</v>
      </c>
      <c r="CL94" s="34">
        <v>263</v>
      </c>
      <c r="CM94" s="34">
        <v>353</v>
      </c>
      <c r="CN94" s="34">
        <v>312</v>
      </c>
      <c r="CO94" s="34">
        <v>232</v>
      </c>
      <c r="CP94" s="34">
        <v>237</v>
      </c>
      <c r="CQ94" s="34">
        <v>553</v>
      </c>
      <c r="CR94" s="34">
        <v>365</v>
      </c>
      <c r="CS94" s="34">
        <v>244</v>
      </c>
      <c r="CT94" s="34">
        <v>90</v>
      </c>
      <c r="CU94" s="34">
        <v>265</v>
      </c>
      <c r="CV94" s="34">
        <v>501</v>
      </c>
      <c r="CW94" s="34">
        <v>113</v>
      </c>
      <c r="CX94" s="34">
        <v>200</v>
      </c>
      <c r="CY94" s="34">
        <v>371</v>
      </c>
      <c r="CZ94" s="34">
        <v>279</v>
      </c>
      <c r="DA94" s="34">
        <v>49</v>
      </c>
      <c r="DB94" s="34">
        <v>487</v>
      </c>
      <c r="DC94" s="34">
        <v>213</v>
      </c>
      <c r="DD94" s="34">
        <v>384</v>
      </c>
      <c r="DE94" s="34">
        <v>322</v>
      </c>
      <c r="DF94" s="34">
        <v>585</v>
      </c>
      <c r="DG94" s="34">
        <v>238</v>
      </c>
      <c r="DH94" s="34">
        <f>121</f>
        <v>121</v>
      </c>
      <c r="DI94" s="34">
        <f>267+20</f>
        <v>287</v>
      </c>
      <c r="DJ94" s="34">
        <f>53+90</f>
        <v>143</v>
      </c>
      <c r="DK94" s="34">
        <f>51+235</f>
        <v>286</v>
      </c>
      <c r="DL94" s="34">
        <f>71+220</f>
        <v>291</v>
      </c>
      <c r="DM94" s="34">
        <f>15+196</f>
        <v>211</v>
      </c>
      <c r="DN94" s="34">
        <f>7+206</f>
        <v>213</v>
      </c>
      <c r="DO94" s="34">
        <f>19+264</f>
        <v>283</v>
      </c>
      <c r="DP94" s="34">
        <f>5+218</f>
        <v>223</v>
      </c>
      <c r="DQ94" s="34">
        <f>18+388</f>
        <v>406</v>
      </c>
      <c r="DR94" s="34">
        <f>4+279</f>
        <v>283</v>
      </c>
      <c r="DS94" s="34">
        <f>1+169</f>
        <v>170</v>
      </c>
      <c r="DT94" s="34">
        <v>241</v>
      </c>
      <c r="DU94" s="34">
        <f>7+202</f>
        <v>209</v>
      </c>
      <c r="DV94" s="34">
        <f>2+164</f>
        <v>166</v>
      </c>
      <c r="DW94" s="34">
        <f>20+125</f>
        <v>145</v>
      </c>
      <c r="DX94" s="34">
        <f>5+249</f>
        <v>254</v>
      </c>
      <c r="DY94" s="34">
        <f>12+94</f>
        <v>106</v>
      </c>
      <c r="DZ94" s="34">
        <f>1+31</f>
        <v>32</v>
      </c>
      <c r="EA94" s="34">
        <f>28+179</f>
        <v>207</v>
      </c>
      <c r="EB94" s="34">
        <f>13+340</f>
        <v>353</v>
      </c>
      <c r="EC94" s="34">
        <v>151</v>
      </c>
      <c r="ED94" s="17">
        <f t="shared" si="16"/>
        <v>185.75</v>
      </c>
      <c r="EE94" s="17">
        <f t="shared" si="15"/>
        <v>2434.25</v>
      </c>
      <c r="EF94" s="16">
        <f>(ED94*6)-EE94</f>
        <v>-1319.75</v>
      </c>
      <c r="EH94" s="12">
        <f>48*6*4</f>
        <v>1152</v>
      </c>
      <c r="EJ94" s="4" t="s">
        <v>407</v>
      </c>
      <c r="FR94" s="74">
        <f t="shared" si="13"/>
        <v>4608</v>
      </c>
      <c r="FV94" s="4">
        <f>48*3</f>
        <v>144</v>
      </c>
      <c r="FZ94" s="4">
        <f>48*2</f>
        <v>96</v>
      </c>
      <c r="GB94" s="4">
        <f>48*2</f>
        <v>96</v>
      </c>
    </row>
    <row r="95" spans="1:185" hidden="1">
      <c r="A95" s="12">
        <v>92</v>
      </c>
      <c r="B95" s="72" t="s">
        <v>22</v>
      </c>
      <c r="C95" s="12" t="s">
        <v>602</v>
      </c>
      <c r="D95" s="15">
        <v>4</v>
      </c>
      <c r="E95" s="15" t="s">
        <v>24</v>
      </c>
      <c r="F95" s="19">
        <v>4</v>
      </c>
      <c r="G95" s="15" t="s">
        <v>25</v>
      </c>
      <c r="H95" s="15" t="s">
        <v>601</v>
      </c>
      <c r="I95" s="15" t="s">
        <v>26</v>
      </c>
      <c r="J95" s="16">
        <f>81+952</f>
        <v>1033</v>
      </c>
      <c r="K95" s="20">
        <f>144*4</f>
        <v>576</v>
      </c>
      <c r="L95" s="20">
        <f>144*4</f>
        <v>576</v>
      </c>
      <c r="M95" s="20"/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0</v>
      </c>
      <c r="BW95" s="34">
        <v>140</v>
      </c>
      <c r="BX95" s="34">
        <v>366</v>
      </c>
      <c r="BY95" s="34">
        <v>635</v>
      </c>
      <c r="BZ95" s="34">
        <v>354</v>
      </c>
      <c r="CA95" s="34">
        <v>584</v>
      </c>
      <c r="CB95" s="34">
        <v>609</v>
      </c>
      <c r="CC95" s="34">
        <v>513</v>
      </c>
      <c r="CD95" s="34">
        <v>522</v>
      </c>
      <c r="CE95" s="34">
        <v>213</v>
      </c>
      <c r="CF95" s="34">
        <v>426</v>
      </c>
      <c r="CG95" s="34">
        <v>581</v>
      </c>
      <c r="CH95" s="34">
        <v>328</v>
      </c>
      <c r="CI95" s="34">
        <v>663</v>
      </c>
      <c r="CJ95" s="34">
        <v>251</v>
      </c>
      <c r="CK95" s="34">
        <v>386</v>
      </c>
      <c r="CL95" s="34">
        <v>388</v>
      </c>
      <c r="CM95" s="34">
        <v>257</v>
      </c>
      <c r="CN95" s="34">
        <v>461</v>
      </c>
      <c r="CO95" s="34">
        <v>269</v>
      </c>
      <c r="CP95" s="34">
        <v>299</v>
      </c>
      <c r="CQ95" s="34">
        <v>501</v>
      </c>
      <c r="CR95" s="34">
        <v>285</v>
      </c>
      <c r="CS95" s="34">
        <v>261</v>
      </c>
      <c r="CT95" s="34">
        <v>99</v>
      </c>
      <c r="CU95" s="34">
        <v>192</v>
      </c>
      <c r="CV95" s="34">
        <v>442</v>
      </c>
      <c r="CW95" s="34">
        <v>129</v>
      </c>
      <c r="CX95" s="34">
        <v>145</v>
      </c>
      <c r="CY95" s="34">
        <v>345</v>
      </c>
      <c r="CZ95" s="34">
        <v>247</v>
      </c>
      <c r="DA95" s="34">
        <v>101</v>
      </c>
      <c r="DB95" s="34">
        <v>449</v>
      </c>
      <c r="DC95" s="34">
        <v>107</v>
      </c>
      <c r="DD95" s="34">
        <v>330</v>
      </c>
      <c r="DE95" s="34">
        <v>317</v>
      </c>
      <c r="DF95" s="34">
        <v>326</v>
      </c>
      <c r="DG95" s="34">
        <v>147</v>
      </c>
      <c r="DH95" s="34">
        <v>128</v>
      </c>
      <c r="DI95" s="34">
        <v>126</v>
      </c>
      <c r="DJ95" s="34">
        <v>160</v>
      </c>
      <c r="DK95" s="34">
        <v>156</v>
      </c>
      <c r="DL95" s="34">
        <v>220</v>
      </c>
      <c r="DM95" s="34">
        <v>124</v>
      </c>
      <c r="DN95" s="34">
        <v>153</v>
      </c>
      <c r="DO95" s="34">
        <v>196</v>
      </c>
      <c r="DP95" s="34">
        <v>166</v>
      </c>
      <c r="DQ95" s="34">
        <v>275</v>
      </c>
      <c r="DR95" s="34">
        <v>144</v>
      </c>
      <c r="DS95" s="34">
        <v>34</v>
      </c>
      <c r="DT95" s="34">
        <f>27</f>
        <v>27</v>
      </c>
      <c r="DU95" s="34">
        <f>38+94</f>
        <v>132</v>
      </c>
      <c r="DV95" s="34">
        <f>9+99</f>
        <v>108</v>
      </c>
      <c r="DW95" s="34">
        <f>11+82</f>
        <v>93</v>
      </c>
      <c r="DX95" s="34">
        <f>13+99</f>
        <v>112</v>
      </c>
      <c r="DY95" s="34">
        <f>2+109</f>
        <v>111</v>
      </c>
      <c r="DZ95" s="34">
        <f>2+80</f>
        <v>82</v>
      </c>
      <c r="EA95" s="34">
        <f>4+143</f>
        <v>147</v>
      </c>
      <c r="EB95" s="34">
        <f>13+201</f>
        <v>214</v>
      </c>
      <c r="EC95" s="34">
        <f>82</f>
        <v>82</v>
      </c>
      <c r="ED95" s="17">
        <f t="shared" si="16"/>
        <v>131.25</v>
      </c>
      <c r="EE95" s="17">
        <f t="shared" si="15"/>
        <v>2053.75</v>
      </c>
      <c r="EF95" s="16">
        <f>(ED95*6)-EE95</f>
        <v>-1266.25</v>
      </c>
      <c r="EH95" s="12">
        <f>48*4*4</f>
        <v>768</v>
      </c>
      <c r="EJ95" s="4" t="s">
        <v>428</v>
      </c>
      <c r="FR95" s="74">
        <f t="shared" si="13"/>
        <v>3072</v>
      </c>
      <c r="FV95" s="4">
        <f>48</f>
        <v>48</v>
      </c>
      <c r="FZ95" s="4">
        <f>48*4</f>
        <v>192</v>
      </c>
      <c r="GB95" s="4">
        <f>48*2</f>
        <v>96</v>
      </c>
    </row>
    <row r="96" spans="1:185" ht="30" hidden="1">
      <c r="A96" s="12">
        <v>93</v>
      </c>
      <c r="B96" s="72" t="s">
        <v>22</v>
      </c>
      <c r="C96" s="83" t="s">
        <v>439</v>
      </c>
      <c r="D96" s="76">
        <v>1</v>
      </c>
      <c r="E96" s="76" t="s">
        <v>24</v>
      </c>
      <c r="F96" s="49">
        <v>180</v>
      </c>
      <c r="G96" s="76" t="s">
        <v>410</v>
      </c>
      <c r="H96" s="76">
        <v>883267</v>
      </c>
      <c r="I96" s="76" t="s">
        <v>28</v>
      </c>
      <c r="J96" s="16">
        <v>0</v>
      </c>
      <c r="K96" s="86"/>
      <c r="L96" s="86"/>
      <c r="M96" s="86"/>
      <c r="N96" s="68"/>
      <c r="O96" s="68"/>
      <c r="P96" s="68"/>
      <c r="Q96" s="68"/>
      <c r="R96" s="68"/>
      <c r="S96" s="68">
        <v>8</v>
      </c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0</v>
      </c>
      <c r="DB96" s="34">
        <v>0</v>
      </c>
      <c r="DC96" s="34">
        <v>0</v>
      </c>
      <c r="DD96" s="34">
        <v>0</v>
      </c>
      <c r="DE96" s="34">
        <v>0</v>
      </c>
      <c r="DF96" s="34">
        <v>0</v>
      </c>
      <c r="DG96" s="34">
        <v>0</v>
      </c>
      <c r="DH96" s="34">
        <v>0</v>
      </c>
      <c r="DI96" s="34">
        <v>0</v>
      </c>
      <c r="DJ96" s="34">
        <v>0</v>
      </c>
      <c r="DK96" s="34">
        <v>0</v>
      </c>
      <c r="DL96" s="34">
        <v>0</v>
      </c>
      <c r="DM96" s="34">
        <v>0</v>
      </c>
      <c r="DN96" s="34">
        <v>0</v>
      </c>
      <c r="DO96" s="34">
        <v>0</v>
      </c>
      <c r="DP96" s="34">
        <v>0</v>
      </c>
      <c r="DQ96" s="34">
        <v>0</v>
      </c>
      <c r="DR96" s="34">
        <v>0</v>
      </c>
      <c r="DS96" s="34">
        <v>0</v>
      </c>
      <c r="DT96" s="34">
        <v>0</v>
      </c>
      <c r="DU96" s="34">
        <v>0</v>
      </c>
      <c r="DV96" s="34">
        <v>0</v>
      </c>
      <c r="DW96" s="34">
        <v>0</v>
      </c>
      <c r="DX96" s="34">
        <v>0</v>
      </c>
      <c r="DY96" s="34">
        <v>0</v>
      </c>
      <c r="DZ96" s="34">
        <v>0</v>
      </c>
      <c r="EA96" s="34">
        <v>0</v>
      </c>
      <c r="EB96" s="34">
        <v>0</v>
      </c>
      <c r="EC96" s="34">
        <v>0</v>
      </c>
      <c r="ED96" s="17">
        <f t="shared" si="16"/>
        <v>0</v>
      </c>
      <c r="EE96" s="17">
        <f t="shared" si="15"/>
        <v>-8</v>
      </c>
      <c r="EF96" s="16">
        <f t="shared" ref="EF96" si="32">(ED96*4)-EE96</f>
        <v>8</v>
      </c>
      <c r="EH96" s="12">
        <v>0</v>
      </c>
      <c r="FR96" s="74">
        <f t="shared" si="13"/>
        <v>0</v>
      </c>
    </row>
    <row r="97" spans="1:186" hidden="1">
      <c r="A97" s="12">
        <v>94</v>
      </c>
      <c r="B97" s="72" t="s">
        <v>22</v>
      </c>
      <c r="C97" s="12" t="s">
        <v>408</v>
      </c>
      <c r="D97" s="76">
        <v>6</v>
      </c>
      <c r="E97" s="76" t="s">
        <v>24</v>
      </c>
      <c r="F97" s="49">
        <v>1</v>
      </c>
      <c r="G97" s="76" t="s">
        <v>25</v>
      </c>
      <c r="H97" s="76">
        <v>887716</v>
      </c>
      <c r="I97" s="76" t="s">
        <v>26</v>
      </c>
      <c r="J97" s="16">
        <v>434</v>
      </c>
      <c r="K97" s="68"/>
      <c r="L97" s="68"/>
      <c r="M97" s="68">
        <f>125*6</f>
        <v>750</v>
      </c>
      <c r="N97" s="68"/>
      <c r="O97" s="68"/>
      <c r="P97" s="68"/>
      <c r="Q97" s="68"/>
      <c r="R97" s="68"/>
      <c r="S97" s="68"/>
      <c r="T97" s="68">
        <f>40*6</f>
        <v>240</v>
      </c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34">
        <v>0</v>
      </c>
      <c r="BZ97" s="34">
        <v>0</v>
      </c>
      <c r="CA97" s="34">
        <v>10</v>
      </c>
      <c r="CB97" s="34">
        <v>56</v>
      </c>
      <c r="CC97" s="34">
        <v>62</v>
      </c>
      <c r="CD97" s="34">
        <v>58</v>
      </c>
      <c r="CE97" s="34">
        <v>26</v>
      </c>
      <c r="CF97" s="34">
        <v>73</v>
      </c>
      <c r="CG97" s="34">
        <v>63</v>
      </c>
      <c r="CH97" s="34">
        <v>98</v>
      </c>
      <c r="CI97" s="34">
        <v>152</v>
      </c>
      <c r="CJ97" s="34">
        <v>71</v>
      </c>
      <c r="CK97" s="34">
        <v>44</v>
      </c>
      <c r="CL97" s="34">
        <v>107</v>
      </c>
      <c r="CM97" s="34">
        <v>105</v>
      </c>
      <c r="CN97" s="34">
        <v>102</v>
      </c>
      <c r="CO97" s="34">
        <v>62</v>
      </c>
      <c r="CP97" s="34">
        <v>65</v>
      </c>
      <c r="CQ97" s="34">
        <v>113</v>
      </c>
      <c r="CR97" s="34">
        <v>41</v>
      </c>
      <c r="CS97" s="34">
        <v>51</v>
      </c>
      <c r="CT97" s="34">
        <v>23</v>
      </c>
      <c r="CU97" s="34">
        <v>52</v>
      </c>
      <c r="CV97" s="34">
        <v>119</v>
      </c>
      <c r="CW97" s="34">
        <v>45</v>
      </c>
      <c r="CX97" s="34">
        <v>48</v>
      </c>
      <c r="CY97" s="34">
        <v>111</v>
      </c>
      <c r="CZ97" s="34">
        <v>51</v>
      </c>
      <c r="DA97" s="34">
        <v>21</v>
      </c>
      <c r="DB97" s="34">
        <v>144</v>
      </c>
      <c r="DC97" s="34">
        <v>36</v>
      </c>
      <c r="DD97" s="34">
        <v>110</v>
      </c>
      <c r="DE97" s="34">
        <v>63</v>
      </c>
      <c r="DF97" s="34">
        <v>162</v>
      </c>
      <c r="DG97" s="34">
        <v>70</v>
      </c>
      <c r="DH97" s="34">
        <v>64</v>
      </c>
      <c r="DI97" s="34">
        <v>103</v>
      </c>
      <c r="DJ97" s="34">
        <v>65</v>
      </c>
      <c r="DK97" s="34">
        <v>71</v>
      </c>
      <c r="DL97" s="34">
        <v>29</v>
      </c>
      <c r="DM97" s="34">
        <v>39</v>
      </c>
      <c r="DN97" s="34">
        <v>43</v>
      </c>
      <c r="DO97" s="34">
        <v>94</v>
      </c>
      <c r="DP97" s="34">
        <v>92</v>
      </c>
      <c r="DQ97" s="34">
        <v>111</v>
      </c>
      <c r="DR97" s="34">
        <v>64</v>
      </c>
      <c r="DS97" s="34">
        <v>55</v>
      </c>
      <c r="DT97" s="34">
        <v>40</v>
      </c>
      <c r="DU97" s="34">
        <v>33</v>
      </c>
      <c r="DV97" s="34">
        <v>38</v>
      </c>
      <c r="DW97" s="34">
        <v>41</v>
      </c>
      <c r="DX97" s="34">
        <v>73</v>
      </c>
      <c r="DY97" s="34">
        <v>55</v>
      </c>
      <c r="DZ97" s="34">
        <v>126</v>
      </c>
      <c r="EA97" s="34">
        <v>60</v>
      </c>
      <c r="EB97" s="34">
        <v>65</v>
      </c>
      <c r="EC97" s="34">
        <v>40</v>
      </c>
      <c r="ED97" s="17">
        <f t="shared" si="16"/>
        <v>72.75</v>
      </c>
      <c r="EE97" s="17">
        <f t="shared" si="15"/>
        <v>871.25</v>
      </c>
      <c r="EF97" s="16">
        <f t="shared" ref="EF97" si="33">(ED97*4)-EE97</f>
        <v>-580.25</v>
      </c>
      <c r="EH97" s="12">
        <v>0</v>
      </c>
      <c r="EJ97" s="4" t="s">
        <v>618</v>
      </c>
      <c r="FR97" s="74">
        <f t="shared" si="13"/>
        <v>0</v>
      </c>
    </row>
    <row r="98" spans="1:186" hidden="1">
      <c r="A98" s="12">
        <v>95</v>
      </c>
      <c r="B98" s="72" t="s">
        <v>22</v>
      </c>
      <c r="C98" s="47" t="s">
        <v>466</v>
      </c>
      <c r="D98" s="79">
        <v>4</v>
      </c>
      <c r="E98" s="79" t="s">
        <v>24</v>
      </c>
      <c r="F98" s="49">
        <v>4</v>
      </c>
      <c r="G98" s="79" t="s">
        <v>25</v>
      </c>
      <c r="H98" s="79">
        <v>888770</v>
      </c>
      <c r="I98" s="79" t="s">
        <v>26</v>
      </c>
      <c r="J98" s="16">
        <v>87</v>
      </c>
      <c r="K98" s="20"/>
      <c r="L98" s="20"/>
      <c r="M98" s="20">
        <f>(96*4)+576</f>
        <v>960</v>
      </c>
      <c r="N98" s="68"/>
      <c r="O98" s="68"/>
      <c r="P98" s="68"/>
      <c r="Q98" s="68"/>
      <c r="R98" s="68"/>
      <c r="S98" s="68"/>
      <c r="T98" s="68">
        <f>100*4</f>
        <v>400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>
        <v>0</v>
      </c>
      <c r="BY98" s="47">
        <v>0</v>
      </c>
      <c r="BZ98" s="47">
        <v>0</v>
      </c>
      <c r="CA98" s="47">
        <v>0</v>
      </c>
      <c r="CB98" s="47">
        <v>0</v>
      </c>
      <c r="CC98" s="47">
        <v>0</v>
      </c>
      <c r="CD98" s="34">
        <v>0</v>
      </c>
      <c r="CE98" s="34">
        <v>0</v>
      </c>
      <c r="CF98" s="34">
        <v>24</v>
      </c>
      <c r="CG98" s="34">
        <v>138</v>
      </c>
      <c r="CH98" s="34">
        <v>38</v>
      </c>
      <c r="CI98" s="34">
        <v>133</v>
      </c>
      <c r="CJ98" s="34">
        <v>71</v>
      </c>
      <c r="CK98" s="34">
        <v>70</v>
      </c>
      <c r="CL98" s="34">
        <v>147</v>
      </c>
      <c r="CM98" s="34">
        <v>160</v>
      </c>
      <c r="CN98" s="34">
        <v>149</v>
      </c>
      <c r="CO98" s="34">
        <v>72</v>
      </c>
      <c r="CP98" s="34">
        <v>123</v>
      </c>
      <c r="CQ98" s="34">
        <v>233</v>
      </c>
      <c r="CR98" s="34">
        <v>116</v>
      </c>
      <c r="CS98" s="34">
        <v>202</v>
      </c>
      <c r="CT98" s="34">
        <v>15</v>
      </c>
      <c r="CU98" s="34">
        <v>71</v>
      </c>
      <c r="CV98" s="34">
        <v>198</v>
      </c>
      <c r="CW98" s="34">
        <v>44</v>
      </c>
      <c r="CX98" s="34">
        <v>90</v>
      </c>
      <c r="CY98" s="34">
        <v>112</v>
      </c>
      <c r="CZ98" s="34">
        <v>179</v>
      </c>
      <c r="DA98" s="34">
        <v>45</v>
      </c>
      <c r="DB98" s="34">
        <v>200</v>
      </c>
      <c r="DC98" s="34">
        <v>17</v>
      </c>
      <c r="DD98" s="34">
        <v>191</v>
      </c>
      <c r="DE98" s="34">
        <v>100</v>
      </c>
      <c r="DF98" s="34">
        <v>131</v>
      </c>
      <c r="DG98" s="34">
        <v>59</v>
      </c>
      <c r="DH98" s="34">
        <v>35</v>
      </c>
      <c r="DI98" s="34">
        <v>38</v>
      </c>
      <c r="DJ98" s="34">
        <v>70</v>
      </c>
      <c r="DK98" s="34">
        <v>53</v>
      </c>
      <c r="DL98" s="34">
        <v>61</v>
      </c>
      <c r="DM98" s="34">
        <v>57</v>
      </c>
      <c r="DN98" s="34">
        <v>111</v>
      </c>
      <c r="DO98" s="34">
        <v>123</v>
      </c>
      <c r="DP98" s="34">
        <v>130</v>
      </c>
      <c r="DQ98" s="34">
        <v>109</v>
      </c>
      <c r="DR98" s="34">
        <v>96</v>
      </c>
      <c r="DS98" s="34">
        <v>73</v>
      </c>
      <c r="DT98" s="34">
        <v>52</v>
      </c>
      <c r="DU98" s="34">
        <v>49</v>
      </c>
      <c r="DV98" s="34">
        <v>59</v>
      </c>
      <c r="DW98" s="34">
        <v>39</v>
      </c>
      <c r="DX98" s="34">
        <v>68</v>
      </c>
      <c r="DY98" s="34">
        <v>128</v>
      </c>
      <c r="DZ98" s="34">
        <v>34</v>
      </c>
      <c r="EA98" s="34">
        <v>48</v>
      </c>
      <c r="EB98" s="34">
        <v>111</v>
      </c>
      <c r="EC98" s="34">
        <v>38</v>
      </c>
      <c r="ED98" s="17">
        <f t="shared" si="16"/>
        <v>57.75</v>
      </c>
      <c r="EE98" s="17">
        <f t="shared" si="15"/>
        <v>589.25</v>
      </c>
      <c r="EF98" s="16">
        <f>(ED98*6)-EE98</f>
        <v>-242.75</v>
      </c>
      <c r="EH98" s="12">
        <f>48*4</f>
        <v>192</v>
      </c>
      <c r="EJ98" s="4" t="s">
        <v>407</v>
      </c>
      <c r="FR98" s="4">
        <f t="shared" si="13"/>
        <v>768</v>
      </c>
      <c r="FT98" s="4">
        <v>47</v>
      </c>
      <c r="FZ98" s="4">
        <f>48*3</f>
        <v>144</v>
      </c>
    </row>
    <row r="99" spans="1:186" hidden="1">
      <c r="A99" s="12">
        <v>96</v>
      </c>
      <c r="B99" s="72" t="s">
        <v>22</v>
      </c>
      <c r="C99" s="47" t="s">
        <v>467</v>
      </c>
      <c r="D99" s="84">
        <v>4</v>
      </c>
      <c r="E99" s="84" t="s">
        <v>24</v>
      </c>
      <c r="F99" s="49">
        <v>4</v>
      </c>
      <c r="G99" s="84" t="s">
        <v>25</v>
      </c>
      <c r="H99" s="84">
        <v>888811</v>
      </c>
      <c r="I99" s="84" t="s">
        <v>26</v>
      </c>
      <c r="J99" s="16">
        <v>37</v>
      </c>
      <c r="K99" s="86"/>
      <c r="L99" s="86"/>
      <c r="M99" s="86">
        <f>48*4</f>
        <v>192</v>
      </c>
      <c r="N99" s="68"/>
      <c r="O99" s="68"/>
      <c r="P99" s="68"/>
      <c r="Q99" s="68"/>
      <c r="R99" s="68"/>
      <c r="S99" s="68"/>
      <c r="T99" s="68"/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0</v>
      </c>
      <c r="CG99" s="34">
        <v>53</v>
      </c>
      <c r="CH99" s="34">
        <v>46</v>
      </c>
      <c r="CI99" s="34">
        <v>65</v>
      </c>
      <c r="CJ99" s="34">
        <v>4</v>
      </c>
      <c r="CK99" s="34">
        <v>0</v>
      </c>
      <c r="CL99" s="34">
        <v>9</v>
      </c>
      <c r="CM99" s="34">
        <v>0</v>
      </c>
      <c r="CN99" s="34">
        <v>1</v>
      </c>
      <c r="CO99" s="34">
        <v>24</v>
      </c>
      <c r="CP99" s="34">
        <v>24</v>
      </c>
      <c r="CQ99" s="34">
        <v>80</v>
      </c>
      <c r="CR99" s="34">
        <v>2</v>
      </c>
      <c r="CS99" s="34">
        <v>68</v>
      </c>
      <c r="CT99" s="34">
        <v>4</v>
      </c>
      <c r="CU99" s="34">
        <v>34</v>
      </c>
      <c r="CV99" s="34">
        <v>46</v>
      </c>
      <c r="CW99" s="34">
        <v>13</v>
      </c>
      <c r="CX99" s="34">
        <v>28</v>
      </c>
      <c r="CY99" s="34">
        <v>32</v>
      </c>
      <c r="CZ99" s="34">
        <v>12</v>
      </c>
      <c r="DA99" s="34">
        <v>0</v>
      </c>
      <c r="DB99" s="34">
        <v>78</v>
      </c>
      <c r="DC99" s="34">
        <v>62</v>
      </c>
      <c r="DD99" s="34">
        <v>26</v>
      </c>
      <c r="DE99" s="34">
        <v>110</v>
      </c>
      <c r="DF99" s="34">
        <v>37</v>
      </c>
      <c r="DG99" s="34">
        <v>33</v>
      </c>
      <c r="DH99" s="34">
        <v>32</v>
      </c>
      <c r="DI99" s="34">
        <v>41</v>
      </c>
      <c r="DJ99" s="34">
        <v>31</v>
      </c>
      <c r="DK99" s="34">
        <v>31</v>
      </c>
      <c r="DL99" s="34">
        <v>50</v>
      </c>
      <c r="DM99" s="34">
        <v>43</v>
      </c>
      <c r="DN99" s="34">
        <v>61</v>
      </c>
      <c r="DO99" s="34">
        <v>42</v>
      </c>
      <c r="DP99" s="34">
        <v>56</v>
      </c>
      <c r="DQ99" s="34">
        <v>50</v>
      </c>
      <c r="DR99" s="34">
        <v>40</v>
      </c>
      <c r="DS99" s="34">
        <v>72</v>
      </c>
      <c r="DT99" s="34">
        <v>31</v>
      </c>
      <c r="DU99" s="34">
        <v>48</v>
      </c>
      <c r="DV99" s="34">
        <v>27</v>
      </c>
      <c r="DW99" s="34">
        <v>13</v>
      </c>
      <c r="DX99" s="34">
        <v>34</v>
      </c>
      <c r="DY99" s="34">
        <v>66</v>
      </c>
      <c r="DZ99" s="34">
        <v>47</v>
      </c>
      <c r="EA99" s="34">
        <v>39</v>
      </c>
      <c r="EB99" s="34">
        <v>47</v>
      </c>
      <c r="EC99" s="34">
        <v>13</v>
      </c>
      <c r="ED99" s="17">
        <f t="shared" si="16"/>
        <v>36.5</v>
      </c>
      <c r="EE99" s="17">
        <f t="shared" si="15"/>
        <v>192.5</v>
      </c>
      <c r="EF99" s="16">
        <f>(ED99*6)-EE99</f>
        <v>26.5</v>
      </c>
      <c r="EH99" s="12">
        <f>48*4</f>
        <v>192</v>
      </c>
      <c r="EJ99" s="4" t="s">
        <v>407</v>
      </c>
      <c r="FR99" s="4">
        <f t="shared" si="13"/>
        <v>768</v>
      </c>
      <c r="FZ99" s="4">
        <f>48*2</f>
        <v>96</v>
      </c>
    </row>
    <row r="100" spans="1:186" hidden="1">
      <c r="A100" s="12">
        <v>97</v>
      </c>
      <c r="B100" s="72" t="s">
        <v>22</v>
      </c>
      <c r="C100" s="47" t="s">
        <v>469</v>
      </c>
      <c r="D100" s="84">
        <v>24</v>
      </c>
      <c r="E100" s="84" t="s">
        <v>24</v>
      </c>
      <c r="F100" s="49">
        <v>1</v>
      </c>
      <c r="G100" s="84" t="s">
        <v>25</v>
      </c>
      <c r="H100" s="84">
        <v>869084</v>
      </c>
      <c r="I100" s="84" t="s">
        <v>26</v>
      </c>
      <c r="J100" s="16">
        <v>1097</v>
      </c>
      <c r="K100" s="68">
        <f>80*24</f>
        <v>1920</v>
      </c>
      <c r="L100" s="68"/>
      <c r="M100" s="68">
        <f>80*24</f>
        <v>1920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>
        <v>127</v>
      </c>
      <c r="CC100" s="47">
        <v>273</v>
      </c>
      <c r="CD100" s="47">
        <v>113</v>
      </c>
      <c r="CE100" s="34">
        <v>10</v>
      </c>
      <c r="CF100" s="34">
        <v>12</v>
      </c>
      <c r="CG100" s="34">
        <v>125</v>
      </c>
      <c r="CH100" s="34">
        <v>220</v>
      </c>
      <c r="CI100" s="34">
        <v>274</v>
      </c>
      <c r="CJ100" s="34">
        <v>111</v>
      </c>
      <c r="CK100" s="34">
        <v>5</v>
      </c>
      <c r="CL100" s="34">
        <v>158</v>
      </c>
      <c r="CM100" s="34">
        <v>251</v>
      </c>
      <c r="CN100" s="34">
        <v>259</v>
      </c>
      <c r="CO100" s="34">
        <v>63</v>
      </c>
      <c r="CP100" s="34">
        <v>125</v>
      </c>
      <c r="CQ100" s="34">
        <v>372</v>
      </c>
      <c r="CR100" s="34">
        <v>30</v>
      </c>
      <c r="CS100" s="34">
        <v>110</v>
      </c>
      <c r="CT100" s="34">
        <v>87</v>
      </c>
      <c r="CU100" s="34">
        <v>1</v>
      </c>
      <c r="CV100" s="34">
        <v>45</v>
      </c>
      <c r="CW100" s="34">
        <v>0</v>
      </c>
      <c r="CX100" s="34">
        <v>28</v>
      </c>
      <c r="CY100" s="34">
        <v>72</v>
      </c>
      <c r="CZ100" s="34">
        <v>178</v>
      </c>
      <c r="DA100" s="34">
        <v>62</v>
      </c>
      <c r="DB100" s="34">
        <v>151</v>
      </c>
      <c r="DC100" s="34">
        <v>84</v>
      </c>
      <c r="DD100" s="34">
        <v>108</v>
      </c>
      <c r="DE100" s="34">
        <v>101</v>
      </c>
      <c r="DF100" s="34">
        <v>84</v>
      </c>
      <c r="DG100" s="34">
        <v>8</v>
      </c>
      <c r="DH100" s="34">
        <v>1</v>
      </c>
      <c r="DI100" s="34">
        <v>24</v>
      </c>
      <c r="DJ100" s="34">
        <v>30</v>
      </c>
      <c r="DK100" s="34">
        <v>132</v>
      </c>
      <c r="DL100" s="34">
        <v>96</v>
      </c>
      <c r="DM100" s="34">
        <v>153</v>
      </c>
      <c r="DN100" s="34">
        <v>72</v>
      </c>
      <c r="DO100" s="34">
        <v>139</v>
      </c>
      <c r="DP100" s="34">
        <v>211</v>
      </c>
      <c r="DQ100" s="34">
        <v>207</v>
      </c>
      <c r="DR100" s="34">
        <v>94</v>
      </c>
      <c r="DS100" s="34">
        <v>14</v>
      </c>
      <c r="DT100" s="34">
        <v>0</v>
      </c>
      <c r="DU100" s="34">
        <v>559</v>
      </c>
      <c r="DV100" s="34">
        <v>18</v>
      </c>
      <c r="DW100" s="34">
        <v>410</v>
      </c>
      <c r="DX100" s="34">
        <v>274</v>
      </c>
      <c r="DY100" s="34">
        <v>106</v>
      </c>
      <c r="DZ100" s="34">
        <v>112</v>
      </c>
      <c r="EA100" s="34">
        <v>51</v>
      </c>
      <c r="EB100" s="34">
        <v>69</v>
      </c>
      <c r="EC100" s="34">
        <v>545</v>
      </c>
      <c r="ED100" s="17">
        <f t="shared" si="16"/>
        <v>194.25</v>
      </c>
      <c r="EE100" s="47">
        <f t="shared" ref="EE100:EE101" si="34">(J100+K100+L100+M100)-(N100+O100+P100+Q100+T100+R100+S100+ED100)</f>
        <v>4742.75</v>
      </c>
      <c r="EF100" s="16">
        <f>(ED100*6)-EE100</f>
        <v>-3577.25</v>
      </c>
      <c r="EH100" s="12">
        <f>80*24</f>
        <v>1920</v>
      </c>
      <c r="EJ100" s="4" t="s">
        <v>96</v>
      </c>
    </row>
    <row r="101" spans="1:186" hidden="1">
      <c r="A101" s="12">
        <v>98</v>
      </c>
      <c r="B101" s="91" t="s">
        <v>22</v>
      </c>
      <c r="C101" s="90" t="s">
        <v>475</v>
      </c>
      <c r="D101" s="89">
        <v>1</v>
      </c>
      <c r="E101" s="89" t="s">
        <v>24</v>
      </c>
      <c r="F101" s="92">
        <v>200</v>
      </c>
      <c r="G101" s="89" t="s">
        <v>25</v>
      </c>
      <c r="H101" s="89">
        <v>846438</v>
      </c>
      <c r="I101" s="89" t="s">
        <v>28</v>
      </c>
      <c r="J101" s="16">
        <v>0</v>
      </c>
      <c r="K101" s="94"/>
      <c r="L101" s="94"/>
      <c r="M101" s="94"/>
      <c r="R101" s="94"/>
      <c r="S101" s="94"/>
      <c r="T101" s="94"/>
      <c r="U101" s="90"/>
      <c r="V101" s="90"/>
      <c r="W101" s="90"/>
      <c r="X101" s="90"/>
      <c r="Y101" s="90"/>
      <c r="Z101" s="90"/>
      <c r="AA101" s="90"/>
      <c r="AB101" s="90"/>
      <c r="AC101" s="95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90"/>
      <c r="BN101" s="90"/>
      <c r="BO101" s="90"/>
      <c r="BP101" s="90"/>
      <c r="BQ101" s="90"/>
      <c r="BR101" s="90"/>
      <c r="BS101" s="90"/>
      <c r="BT101" s="90"/>
      <c r="BU101" s="90"/>
      <c r="BV101" s="90"/>
      <c r="BW101" s="90"/>
      <c r="BX101" s="90"/>
      <c r="BY101" s="90"/>
      <c r="BZ101" s="90"/>
      <c r="CA101" s="90"/>
      <c r="CB101" s="90"/>
      <c r="CC101" s="90">
        <v>0</v>
      </c>
      <c r="CD101" s="90">
        <v>0</v>
      </c>
      <c r="CE101" s="90">
        <v>0</v>
      </c>
      <c r="CF101" s="90">
        <v>0</v>
      </c>
      <c r="CG101" s="90">
        <v>0</v>
      </c>
      <c r="CH101" s="90">
        <v>0</v>
      </c>
      <c r="CI101" s="96">
        <v>0</v>
      </c>
      <c r="CJ101" s="96">
        <v>4</v>
      </c>
      <c r="CK101" s="96">
        <v>0</v>
      </c>
      <c r="CL101" s="96">
        <v>0</v>
      </c>
      <c r="CM101" s="96">
        <v>0</v>
      </c>
      <c r="CN101" s="96">
        <v>0</v>
      </c>
      <c r="CO101" s="96">
        <v>0</v>
      </c>
      <c r="CP101" s="96">
        <v>0</v>
      </c>
      <c r="CQ101" s="34">
        <v>0</v>
      </c>
      <c r="CR101" s="34">
        <v>0</v>
      </c>
      <c r="CS101" s="34">
        <v>0</v>
      </c>
      <c r="CT101" s="34">
        <v>0</v>
      </c>
      <c r="CU101" s="34">
        <v>0</v>
      </c>
      <c r="CV101" s="34">
        <v>0</v>
      </c>
      <c r="CW101" s="34">
        <v>0</v>
      </c>
      <c r="CX101" s="34">
        <v>0</v>
      </c>
      <c r="CY101" s="34">
        <v>0</v>
      </c>
      <c r="CZ101" s="34">
        <v>0</v>
      </c>
      <c r="DA101" s="34">
        <v>0</v>
      </c>
      <c r="DB101" s="34">
        <v>0</v>
      </c>
      <c r="DC101" s="34">
        <v>0</v>
      </c>
      <c r="DD101" s="34">
        <v>0</v>
      </c>
      <c r="DE101" s="34">
        <v>0</v>
      </c>
      <c r="DF101" s="34">
        <v>0</v>
      </c>
      <c r="DG101" s="34">
        <v>0</v>
      </c>
      <c r="DH101" s="34">
        <v>0</v>
      </c>
      <c r="DI101" s="34">
        <v>0</v>
      </c>
      <c r="DJ101" s="34">
        <v>0</v>
      </c>
      <c r="DK101" s="34">
        <v>0</v>
      </c>
      <c r="DL101" s="34">
        <v>0</v>
      </c>
      <c r="DM101" s="34">
        <v>0</v>
      </c>
      <c r="DN101" s="34">
        <v>0</v>
      </c>
      <c r="DO101" s="34">
        <v>0</v>
      </c>
      <c r="DP101" s="34">
        <v>0</v>
      </c>
      <c r="DQ101" s="34">
        <v>0</v>
      </c>
      <c r="DR101" s="34">
        <v>0</v>
      </c>
      <c r="DS101" s="34">
        <v>0</v>
      </c>
      <c r="DT101" s="34">
        <v>0</v>
      </c>
      <c r="DU101" s="34">
        <v>0</v>
      </c>
      <c r="DV101" s="34">
        <v>0</v>
      </c>
      <c r="DW101" s="34">
        <v>0</v>
      </c>
      <c r="DX101" s="34">
        <v>0</v>
      </c>
      <c r="DY101" s="34">
        <v>0</v>
      </c>
      <c r="DZ101" s="34">
        <v>0</v>
      </c>
      <c r="EA101" s="34">
        <v>0</v>
      </c>
      <c r="EB101" s="34">
        <v>0</v>
      </c>
      <c r="EC101" s="34">
        <v>0</v>
      </c>
      <c r="ED101" s="17">
        <f t="shared" si="16"/>
        <v>0</v>
      </c>
      <c r="EE101" s="97">
        <f t="shared" si="34"/>
        <v>0</v>
      </c>
      <c r="EF101" s="93">
        <f t="shared" ref="EF101" si="35">(ED101*4)-EE101</f>
        <v>0</v>
      </c>
      <c r="EH101" s="12">
        <v>0</v>
      </c>
    </row>
    <row r="102" spans="1:186" ht="14.25" customHeight="1">
      <c r="A102" s="12">
        <v>99</v>
      </c>
      <c r="B102" s="72" t="s">
        <v>22</v>
      </c>
      <c r="C102" s="47" t="s">
        <v>516</v>
      </c>
      <c r="D102" s="88"/>
      <c r="E102" s="88"/>
      <c r="F102" s="49"/>
      <c r="G102" s="88"/>
      <c r="H102" s="88">
        <v>887513</v>
      </c>
      <c r="I102" s="88" t="s">
        <v>26</v>
      </c>
      <c r="J102" s="16">
        <v>323</v>
      </c>
      <c r="K102" s="20"/>
      <c r="L102" s="20"/>
      <c r="M102" s="20"/>
      <c r="N102" s="68"/>
      <c r="O102" s="68"/>
      <c r="P102" s="68"/>
      <c r="Q102" s="68"/>
      <c r="R102" s="68"/>
      <c r="S102" s="68"/>
      <c r="T102" s="68"/>
      <c r="U102" s="47"/>
      <c r="V102" s="47"/>
      <c r="W102" s="47"/>
      <c r="X102" s="47"/>
      <c r="Y102" s="47"/>
      <c r="Z102" s="47"/>
      <c r="AA102" s="47"/>
      <c r="AB102" s="47"/>
      <c r="AC102" s="69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  <c r="CE102" s="47"/>
      <c r="CF102" s="47"/>
      <c r="CG102" s="47"/>
      <c r="CH102" s="47"/>
      <c r="CI102" s="47"/>
      <c r="CJ102" s="47"/>
      <c r="CK102" s="47">
        <v>0</v>
      </c>
      <c r="CL102" s="47">
        <v>0</v>
      </c>
      <c r="CM102" s="47">
        <v>0</v>
      </c>
      <c r="CN102" s="47">
        <v>0</v>
      </c>
      <c r="CO102" s="47">
        <v>0</v>
      </c>
      <c r="CP102" s="47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12</v>
      </c>
      <c r="CY102" s="34">
        <v>34</v>
      </c>
      <c r="CZ102" s="34">
        <v>27</v>
      </c>
      <c r="DA102" s="34">
        <v>37</v>
      </c>
      <c r="DB102" s="34">
        <v>82</v>
      </c>
      <c r="DC102" s="34">
        <v>10</v>
      </c>
      <c r="DD102" s="34">
        <v>50</v>
      </c>
      <c r="DE102" s="34">
        <v>57</v>
      </c>
      <c r="DF102" s="34">
        <v>62</v>
      </c>
      <c r="DG102" s="34">
        <v>10</v>
      </c>
      <c r="DH102" s="34">
        <v>8</v>
      </c>
      <c r="DI102" s="34">
        <v>20</v>
      </c>
      <c r="DJ102" s="34">
        <v>0</v>
      </c>
      <c r="DK102" s="34">
        <v>27</v>
      </c>
      <c r="DL102" s="34">
        <v>49</v>
      </c>
      <c r="DM102" s="34">
        <v>56</v>
      </c>
      <c r="DN102" s="34">
        <v>24</v>
      </c>
      <c r="DO102" s="34">
        <v>15</v>
      </c>
      <c r="DP102" s="34">
        <v>26</v>
      </c>
      <c r="DQ102" s="34">
        <v>40</v>
      </c>
      <c r="DR102" s="34">
        <v>26</v>
      </c>
      <c r="DS102" s="34">
        <v>2</v>
      </c>
      <c r="DT102" s="34">
        <v>13</v>
      </c>
      <c r="DU102" s="34">
        <v>8</v>
      </c>
      <c r="DV102" s="34">
        <v>25</v>
      </c>
      <c r="DW102" s="34">
        <v>24</v>
      </c>
      <c r="DX102" s="34">
        <v>2</v>
      </c>
      <c r="DY102" s="34">
        <v>28</v>
      </c>
      <c r="DZ102" s="34">
        <v>6</v>
      </c>
      <c r="EA102" s="34">
        <v>4</v>
      </c>
      <c r="EB102" s="34">
        <v>16</v>
      </c>
      <c r="EC102" s="34">
        <v>7</v>
      </c>
      <c r="ED102" s="17">
        <f t="shared" si="16"/>
        <v>8.25</v>
      </c>
      <c r="EE102" s="97">
        <f t="shared" ref="EE102" si="36">(J102+K102+L102+M102)-(N102+O102+P102+Q102+T102+R102+S102+ED102)</f>
        <v>314.75</v>
      </c>
      <c r="EF102" s="93">
        <f t="shared" ref="EF102" si="37">(ED102*4)-EE102</f>
        <v>-281.75</v>
      </c>
      <c r="EH102" s="12">
        <v>0</v>
      </c>
    </row>
    <row r="103" spans="1:186">
      <c r="A103" s="12">
        <v>100</v>
      </c>
      <c r="B103" s="13" t="s">
        <v>22</v>
      </c>
      <c r="C103" s="13" t="s">
        <v>40</v>
      </c>
      <c r="D103" s="14">
        <v>60</v>
      </c>
      <c r="E103" s="14" t="s">
        <v>24</v>
      </c>
      <c r="F103" s="158">
        <v>0.12</v>
      </c>
      <c r="G103" s="14" t="s">
        <v>25</v>
      </c>
      <c r="H103" s="100" t="s">
        <v>90</v>
      </c>
      <c r="I103" s="15" t="s">
        <v>26</v>
      </c>
      <c r="J103" s="16">
        <v>207</v>
      </c>
      <c r="K103" s="12"/>
      <c r="L103" s="12"/>
      <c r="M103" s="12"/>
      <c r="N103" s="12"/>
      <c r="O103" s="12"/>
      <c r="P103" s="12"/>
      <c r="Q103" s="12"/>
      <c r="R103" s="12"/>
      <c r="S103" s="12"/>
      <c r="T103" s="12">
        <f>3000</f>
        <v>3000</v>
      </c>
      <c r="U103" s="12"/>
      <c r="V103" s="12"/>
      <c r="W103" s="12"/>
      <c r="X103" s="12"/>
      <c r="Y103" s="12"/>
      <c r="Z103" s="12"/>
      <c r="AA103" s="12"/>
      <c r="AB103" s="12"/>
      <c r="AC103" s="16"/>
      <c r="AD103" s="16"/>
      <c r="AE103" s="16"/>
      <c r="AF103" s="16">
        <v>235</v>
      </c>
      <c r="AG103" s="16">
        <v>540</v>
      </c>
      <c r="AH103" s="16">
        <v>1444</v>
      </c>
      <c r="AI103" s="16">
        <v>329</v>
      </c>
      <c r="AJ103" s="16">
        <v>1134</v>
      </c>
      <c r="AK103" s="16">
        <v>455</v>
      </c>
      <c r="AL103" s="16">
        <v>689</v>
      </c>
      <c r="AM103" s="34">
        <v>692.48</v>
      </c>
      <c r="AN103" s="34">
        <v>1161</v>
      </c>
      <c r="AO103" s="34">
        <v>1171</v>
      </c>
      <c r="AP103" s="34">
        <v>1735</v>
      </c>
      <c r="AQ103" s="34">
        <v>1411</v>
      </c>
      <c r="AR103" s="34">
        <v>2793</v>
      </c>
      <c r="AS103" s="34">
        <v>2725</v>
      </c>
      <c r="AT103" s="34">
        <v>626</v>
      </c>
      <c r="AU103" s="34">
        <v>2223</v>
      </c>
      <c r="AV103" s="34">
        <v>1650</v>
      </c>
      <c r="AW103" s="34">
        <v>1359</v>
      </c>
      <c r="AX103" s="34">
        <v>2293</v>
      </c>
      <c r="AY103" s="34">
        <v>2222</v>
      </c>
      <c r="AZ103" s="34">
        <v>2998</v>
      </c>
      <c r="BA103" s="34">
        <v>2804</v>
      </c>
      <c r="BB103" s="34">
        <v>2082</v>
      </c>
      <c r="BC103" s="34">
        <v>3301</v>
      </c>
      <c r="BD103" s="34">
        <v>3891</v>
      </c>
      <c r="BE103" s="34">
        <v>4826</v>
      </c>
      <c r="BF103" s="34">
        <v>5765</v>
      </c>
      <c r="BG103" s="34">
        <v>5531</v>
      </c>
      <c r="BH103" s="34">
        <v>2161</v>
      </c>
      <c r="BI103" s="34">
        <v>5034</v>
      </c>
      <c r="BJ103" s="34">
        <v>5245</v>
      </c>
      <c r="BK103" s="34">
        <v>6517</v>
      </c>
      <c r="BL103" s="34">
        <v>4198</v>
      </c>
      <c r="BM103" s="34">
        <v>4435</v>
      </c>
      <c r="BN103" s="34">
        <v>2444</v>
      </c>
      <c r="BO103" s="34">
        <v>4377</v>
      </c>
      <c r="BP103" s="34">
        <v>4618</v>
      </c>
      <c r="BQ103" s="34">
        <v>3419</v>
      </c>
      <c r="BR103" s="34">
        <v>3385</v>
      </c>
      <c r="BS103" s="34">
        <v>3235</v>
      </c>
      <c r="BT103" s="34">
        <v>3644</v>
      </c>
      <c r="BU103" s="34">
        <v>4457</v>
      </c>
      <c r="BV103" s="34">
        <v>3247</v>
      </c>
      <c r="BW103" s="34">
        <v>3774</v>
      </c>
      <c r="BX103" s="34">
        <v>4588</v>
      </c>
      <c r="BY103" s="34">
        <v>3818</v>
      </c>
      <c r="BZ103" s="34">
        <v>2803</v>
      </c>
      <c r="CA103" s="34">
        <v>3200</v>
      </c>
      <c r="CB103" s="34">
        <v>5382</v>
      </c>
      <c r="CC103" s="34">
        <v>2925</v>
      </c>
      <c r="CD103" s="34">
        <v>2499</v>
      </c>
      <c r="CE103" s="34">
        <v>1336</v>
      </c>
      <c r="CF103" s="34">
        <v>2650</v>
      </c>
      <c r="CG103" s="34">
        <v>2852</v>
      </c>
      <c r="CH103" s="34">
        <v>3235</v>
      </c>
      <c r="CI103" s="34">
        <v>3519</v>
      </c>
      <c r="CJ103" s="34">
        <v>2581</v>
      </c>
      <c r="CK103" s="34">
        <v>2481</v>
      </c>
      <c r="CL103" s="34">
        <v>2164</v>
      </c>
      <c r="CM103" s="34">
        <v>2529</v>
      </c>
      <c r="CN103" s="34">
        <v>2608</v>
      </c>
      <c r="CO103" s="34">
        <v>2696</v>
      </c>
      <c r="CP103" s="34">
        <v>3761</v>
      </c>
      <c r="CQ103" s="34">
        <v>5182</v>
      </c>
      <c r="CR103" s="34">
        <v>4209</v>
      </c>
      <c r="CS103" s="34">
        <v>2127</v>
      </c>
      <c r="CT103" s="34">
        <v>343</v>
      </c>
      <c r="CU103" s="34">
        <v>2383</v>
      </c>
      <c r="CV103" s="34">
        <v>3907</v>
      </c>
      <c r="CW103" s="34">
        <v>814</v>
      </c>
      <c r="CX103" s="34">
        <v>1660</v>
      </c>
      <c r="CY103" s="34">
        <v>2415</v>
      </c>
      <c r="CZ103" s="34">
        <v>2098</v>
      </c>
      <c r="DA103" s="34">
        <v>3093</v>
      </c>
      <c r="DB103" s="34">
        <v>3615</v>
      </c>
      <c r="DC103" s="34">
        <v>1477</v>
      </c>
      <c r="DD103" s="34">
        <v>2723</v>
      </c>
      <c r="DE103" s="34">
        <v>1832</v>
      </c>
      <c r="DF103" s="34">
        <v>3667</v>
      </c>
      <c r="DG103" s="34">
        <v>2213</v>
      </c>
      <c r="DH103" s="34">
        <v>1816</v>
      </c>
      <c r="DI103" s="34">
        <v>998</v>
      </c>
      <c r="DJ103" s="34">
        <v>965</v>
      </c>
      <c r="DK103" s="34">
        <v>2437</v>
      </c>
      <c r="DL103" s="34">
        <v>3043</v>
      </c>
      <c r="DM103" s="34">
        <v>2076</v>
      </c>
      <c r="DN103" s="34">
        <v>2047</v>
      </c>
      <c r="DO103" s="34">
        <v>1326</v>
      </c>
      <c r="DP103" s="34">
        <v>3044</v>
      </c>
      <c r="DQ103" s="34">
        <v>3804</v>
      </c>
      <c r="DR103" s="34">
        <v>3029</v>
      </c>
      <c r="DS103" s="34">
        <v>2048</v>
      </c>
      <c r="DT103" s="34">
        <v>787</v>
      </c>
      <c r="DU103" s="34">
        <v>1129</v>
      </c>
      <c r="DV103" s="34">
        <v>1777</v>
      </c>
      <c r="DW103" s="34">
        <v>2720</v>
      </c>
      <c r="DX103" s="34">
        <v>1894</v>
      </c>
      <c r="DY103" s="34">
        <v>3487</v>
      </c>
      <c r="DZ103" s="34">
        <v>1204</v>
      </c>
      <c r="EA103" s="34">
        <v>715</v>
      </c>
      <c r="EB103" s="34">
        <v>150</v>
      </c>
      <c r="EC103" s="34">
        <v>71</v>
      </c>
      <c r="ED103" s="17">
        <f t="shared" si="16"/>
        <v>535</v>
      </c>
      <c r="EE103" s="97">
        <f t="shared" ref="EE103" si="38">(J103+K103+L103+M103)-(N103+O103+P103+Q103+T103+R103+S103+ED103)</f>
        <v>-3328</v>
      </c>
      <c r="EF103" s="16">
        <f t="shared" ref="EF103" si="39">(ED103*4)-EE103</f>
        <v>5468</v>
      </c>
      <c r="EG103" s="102"/>
      <c r="EH103" s="12">
        <f>250*60</f>
        <v>15000</v>
      </c>
      <c r="EJ103" s="4" t="s">
        <v>627</v>
      </c>
      <c r="GD103" s="4">
        <v>250</v>
      </c>
    </row>
    <row r="104" spans="1:186">
      <c r="A104" s="12">
        <v>101</v>
      </c>
      <c r="B104" s="72" t="s">
        <v>22</v>
      </c>
      <c r="C104" s="47" t="s">
        <v>517</v>
      </c>
      <c r="D104" s="98">
        <v>12</v>
      </c>
      <c r="E104" s="98" t="s">
        <v>24</v>
      </c>
      <c r="F104" s="49">
        <v>1</v>
      </c>
      <c r="G104" s="98" t="s">
        <v>25</v>
      </c>
      <c r="H104" s="98">
        <v>450013</v>
      </c>
      <c r="I104" s="98" t="s">
        <v>26</v>
      </c>
      <c r="J104" s="16">
        <v>2999</v>
      </c>
      <c r="K104" s="68"/>
      <c r="L104" s="68"/>
      <c r="M104" s="68"/>
      <c r="N104" s="68"/>
      <c r="O104" s="68"/>
      <c r="P104" s="68"/>
      <c r="Q104" s="68"/>
      <c r="R104" s="68"/>
      <c r="S104" s="68"/>
      <c r="T104" s="68">
        <f>50*12</f>
        <v>600</v>
      </c>
      <c r="U104" s="47"/>
      <c r="V104" s="47"/>
      <c r="W104" s="47"/>
      <c r="X104" s="47"/>
      <c r="Y104" s="47"/>
      <c r="Z104" s="47"/>
      <c r="AA104" s="47"/>
      <c r="AB104" s="47"/>
      <c r="AC104" s="69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>
        <v>0</v>
      </c>
      <c r="BT104" s="47">
        <v>0</v>
      </c>
      <c r="BU104" s="47">
        <v>1009</v>
      </c>
      <c r="BV104" s="47">
        <v>596</v>
      </c>
      <c r="BW104" s="47">
        <v>1255</v>
      </c>
      <c r="BX104" s="47">
        <v>660</v>
      </c>
      <c r="BY104" s="34">
        <v>1195</v>
      </c>
      <c r="BZ104" s="34">
        <v>1239</v>
      </c>
      <c r="CA104" s="34">
        <v>1202</v>
      </c>
      <c r="CB104" s="34">
        <v>1450</v>
      </c>
      <c r="CC104" s="34">
        <v>1049</v>
      </c>
      <c r="CD104" s="34">
        <v>627</v>
      </c>
      <c r="CE104" s="34">
        <v>707</v>
      </c>
      <c r="CF104" s="34">
        <v>994</v>
      </c>
      <c r="CG104" s="34">
        <v>1053</v>
      </c>
      <c r="CH104" s="34">
        <v>1527</v>
      </c>
      <c r="CI104" s="34">
        <v>760</v>
      </c>
      <c r="CJ104" s="34">
        <v>774</v>
      </c>
      <c r="CK104" s="34">
        <v>488</v>
      </c>
      <c r="CL104" s="34">
        <v>977</v>
      </c>
      <c r="CM104" s="34">
        <v>828</v>
      </c>
      <c r="CN104" s="34">
        <v>462</v>
      </c>
      <c r="CO104" s="34">
        <v>857</v>
      </c>
      <c r="CP104" s="34">
        <v>923</v>
      </c>
      <c r="CQ104" s="34">
        <v>1224</v>
      </c>
      <c r="CR104" s="34">
        <v>579</v>
      </c>
      <c r="CS104" s="34">
        <v>148</v>
      </c>
      <c r="CT104" s="34">
        <v>111</v>
      </c>
      <c r="CU104" s="34">
        <v>841</v>
      </c>
      <c r="CV104" s="34">
        <v>905</v>
      </c>
      <c r="CW104" s="34">
        <v>357</v>
      </c>
      <c r="CX104" s="34">
        <v>637</v>
      </c>
      <c r="CY104" s="34">
        <v>1118</v>
      </c>
      <c r="CZ104" s="34">
        <v>1427</v>
      </c>
      <c r="DA104" s="34">
        <v>530</v>
      </c>
      <c r="DB104" s="34">
        <v>2161</v>
      </c>
      <c r="DC104" s="34">
        <v>562</v>
      </c>
      <c r="DD104" s="34">
        <v>412</v>
      </c>
      <c r="DE104" s="34">
        <v>676</v>
      </c>
      <c r="DF104" s="34">
        <v>1497</v>
      </c>
      <c r="DG104" s="34">
        <v>552</v>
      </c>
      <c r="DH104" s="34">
        <v>315</v>
      </c>
      <c r="DI104" s="34">
        <v>584</v>
      </c>
      <c r="DJ104" s="34">
        <v>233</v>
      </c>
      <c r="DK104" s="34">
        <v>481</v>
      </c>
      <c r="DL104" s="34">
        <v>592</v>
      </c>
      <c r="DM104" s="34">
        <v>728</v>
      </c>
      <c r="DN104" s="34">
        <v>1065</v>
      </c>
      <c r="DO104" s="34">
        <v>770</v>
      </c>
      <c r="DP104" s="34">
        <v>812</v>
      </c>
      <c r="DQ104" s="34">
        <v>1027</v>
      </c>
      <c r="DR104" s="34">
        <v>676</v>
      </c>
      <c r="DS104" s="34">
        <v>183</v>
      </c>
      <c r="DT104" s="34">
        <v>594</v>
      </c>
      <c r="DU104" s="34">
        <v>618</v>
      </c>
      <c r="DV104" s="34">
        <v>662</v>
      </c>
      <c r="DW104" s="34">
        <v>462</v>
      </c>
      <c r="DX104" s="34">
        <v>456</v>
      </c>
      <c r="DY104" s="34">
        <v>681</v>
      </c>
      <c r="DZ104" s="34">
        <v>957</v>
      </c>
      <c r="EA104" s="34">
        <v>525</v>
      </c>
      <c r="EB104" s="34">
        <v>640</v>
      </c>
      <c r="EC104" s="34">
        <v>749</v>
      </c>
      <c r="ED104" s="17">
        <f t="shared" si="16"/>
        <v>717.75</v>
      </c>
      <c r="EE104" s="97">
        <f t="shared" ref="EE104:EE108" si="40">(J104+K104+L104+M104)-(N104+O104+P104+Q104+T104+R104+S104+ED104)</f>
        <v>1681.25</v>
      </c>
      <c r="EF104" s="16">
        <f t="shared" ref="EF104:EF108" si="41">(ED104*4)-EE104</f>
        <v>1189.75</v>
      </c>
      <c r="EG104" s="102"/>
      <c r="EH104" s="12">
        <f>350*12</f>
        <v>4200</v>
      </c>
      <c r="EJ104" s="4" t="s">
        <v>629</v>
      </c>
      <c r="GC104" s="4">
        <v>350</v>
      </c>
    </row>
    <row r="105" spans="1:186">
      <c r="A105" s="12">
        <v>102</v>
      </c>
      <c r="B105" s="72" t="s">
        <v>22</v>
      </c>
      <c r="C105" s="47" t="s">
        <v>517</v>
      </c>
      <c r="D105" s="98">
        <v>1</v>
      </c>
      <c r="E105" s="98" t="s">
        <v>24</v>
      </c>
      <c r="F105" s="49">
        <v>18</v>
      </c>
      <c r="G105" s="98" t="s">
        <v>25</v>
      </c>
      <c r="H105" s="98">
        <v>450012</v>
      </c>
      <c r="I105" s="98" t="s">
        <v>29</v>
      </c>
      <c r="J105" s="16">
        <v>62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15</v>
      </c>
      <c r="BT105" s="47">
        <v>32</v>
      </c>
      <c r="BU105" s="47">
        <v>3</v>
      </c>
      <c r="BV105" s="47">
        <v>42</v>
      </c>
      <c r="BW105" s="47">
        <v>80</v>
      </c>
      <c r="BX105" s="47">
        <v>4</v>
      </c>
      <c r="BY105" s="34">
        <v>11</v>
      </c>
      <c r="BZ105" s="34">
        <v>46</v>
      </c>
      <c r="CA105" s="34">
        <v>4</v>
      </c>
      <c r="CB105" s="34">
        <v>859</v>
      </c>
      <c r="CC105" s="34">
        <v>21</v>
      </c>
      <c r="CD105" s="34">
        <v>123</v>
      </c>
      <c r="CE105" s="34">
        <v>6</v>
      </c>
      <c r="CF105" s="34">
        <v>115</v>
      </c>
      <c r="CG105" s="34">
        <v>9</v>
      </c>
      <c r="CH105" s="34">
        <v>14</v>
      </c>
      <c r="CI105" s="34">
        <v>23</v>
      </c>
      <c r="CJ105" s="34">
        <v>19</v>
      </c>
      <c r="CK105" s="34">
        <v>2</v>
      </c>
      <c r="CL105" s="34">
        <v>34</v>
      </c>
      <c r="CM105" s="34">
        <v>15</v>
      </c>
      <c r="CN105" s="34">
        <v>22</v>
      </c>
      <c r="CO105" s="34">
        <v>5</v>
      </c>
      <c r="CP105" s="34">
        <v>16</v>
      </c>
      <c r="CQ105" s="34">
        <v>85</v>
      </c>
      <c r="CR105" s="34">
        <v>30</v>
      </c>
      <c r="CS105" s="34">
        <v>11</v>
      </c>
      <c r="CT105" s="34">
        <v>3</v>
      </c>
      <c r="CU105" s="34">
        <v>8</v>
      </c>
      <c r="CV105" s="34">
        <v>45</v>
      </c>
      <c r="CW105" s="34">
        <v>23</v>
      </c>
      <c r="CX105" s="34">
        <v>15</v>
      </c>
      <c r="CY105" s="34">
        <v>13</v>
      </c>
      <c r="CZ105" s="34">
        <v>24</v>
      </c>
      <c r="DA105" s="34">
        <v>38</v>
      </c>
      <c r="DB105" s="34">
        <v>28</v>
      </c>
      <c r="DC105" s="34">
        <v>2</v>
      </c>
      <c r="DD105" s="34">
        <v>6</v>
      </c>
      <c r="DE105" s="34">
        <v>25</v>
      </c>
      <c r="DF105" s="34">
        <v>16</v>
      </c>
      <c r="DG105" s="34">
        <v>40</v>
      </c>
      <c r="DH105" s="34">
        <v>13</v>
      </c>
      <c r="DI105" s="34">
        <v>5</v>
      </c>
      <c r="DJ105" s="34">
        <v>3</v>
      </c>
      <c r="DK105" s="34">
        <v>66</v>
      </c>
      <c r="DL105" s="34">
        <v>48</v>
      </c>
      <c r="DM105" s="34">
        <v>18</v>
      </c>
      <c r="DN105" s="34">
        <v>3</v>
      </c>
      <c r="DO105" s="34">
        <v>10</v>
      </c>
      <c r="DP105" s="34">
        <v>102</v>
      </c>
      <c r="DQ105" s="34">
        <v>63</v>
      </c>
      <c r="DR105" s="34">
        <v>57</v>
      </c>
      <c r="DS105" s="34">
        <v>29</v>
      </c>
      <c r="DT105" s="34">
        <v>7</v>
      </c>
      <c r="DU105" s="34">
        <v>75</v>
      </c>
      <c r="DV105" s="34">
        <v>74</v>
      </c>
      <c r="DW105" s="34">
        <v>36</v>
      </c>
      <c r="DX105" s="34">
        <v>24</v>
      </c>
      <c r="DY105" s="34">
        <v>34</v>
      </c>
      <c r="DZ105" s="34">
        <v>4</v>
      </c>
      <c r="EA105" s="34">
        <v>14</v>
      </c>
      <c r="EB105" s="34">
        <v>20</v>
      </c>
      <c r="EC105" s="34">
        <v>92</v>
      </c>
      <c r="ED105" s="17">
        <f t="shared" si="16"/>
        <v>32.5</v>
      </c>
      <c r="EE105" s="97">
        <f t="shared" si="40"/>
        <v>29.5</v>
      </c>
      <c r="EF105" s="16">
        <f t="shared" si="41"/>
        <v>100.5</v>
      </c>
      <c r="EG105" s="102"/>
      <c r="EH105" s="12">
        <v>200</v>
      </c>
      <c r="EJ105" s="4" t="s">
        <v>628</v>
      </c>
      <c r="GC105" s="4">
        <v>200</v>
      </c>
    </row>
    <row r="106" spans="1:186" hidden="1">
      <c r="A106" s="12">
        <v>103</v>
      </c>
      <c r="B106" s="72" t="s">
        <v>22</v>
      </c>
      <c r="C106" s="47" t="s">
        <v>518</v>
      </c>
      <c r="D106" s="98">
        <v>12</v>
      </c>
      <c r="E106" s="98" t="s">
        <v>24</v>
      </c>
      <c r="F106" s="49">
        <v>0.5</v>
      </c>
      <c r="G106" s="98" t="s">
        <v>25</v>
      </c>
      <c r="H106" s="98">
        <v>550001</v>
      </c>
      <c r="I106" s="98" t="s">
        <v>26</v>
      </c>
      <c r="J106" s="16">
        <v>0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71</v>
      </c>
      <c r="BT106" s="47">
        <v>154</v>
      </c>
      <c r="BU106" s="47">
        <v>2</v>
      </c>
      <c r="BV106" s="47">
        <v>50</v>
      </c>
      <c r="BW106" s="47">
        <v>34</v>
      </c>
      <c r="BX106" s="47">
        <v>33</v>
      </c>
      <c r="BY106" s="34">
        <v>124</v>
      </c>
      <c r="BZ106" s="34">
        <v>26</v>
      </c>
      <c r="CA106" s="34">
        <v>12</v>
      </c>
      <c r="CB106" s="34">
        <v>29</v>
      </c>
      <c r="CC106" s="34">
        <v>36</v>
      </c>
      <c r="CD106" s="34">
        <v>34</v>
      </c>
      <c r="CE106" s="34">
        <v>4</v>
      </c>
      <c r="CF106" s="34">
        <v>9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1</v>
      </c>
      <c r="CM106" s="34">
        <v>12</v>
      </c>
      <c r="CN106" s="34">
        <v>3</v>
      </c>
      <c r="CO106" s="34">
        <v>0</v>
      </c>
      <c r="CP106" s="34">
        <v>0</v>
      </c>
      <c r="CQ106" s="34">
        <v>0</v>
      </c>
      <c r="CR106" s="34">
        <v>2</v>
      </c>
      <c r="CS106" s="34">
        <v>46</v>
      </c>
      <c r="CT106" s="34">
        <v>1</v>
      </c>
      <c r="CU106" s="34">
        <v>1</v>
      </c>
      <c r="CV106" s="34">
        <v>4</v>
      </c>
      <c r="CW106" s="34">
        <v>24</v>
      </c>
      <c r="CX106" s="34">
        <v>12</v>
      </c>
      <c r="CY106" s="34">
        <v>0</v>
      </c>
      <c r="CZ106" s="34">
        <v>0</v>
      </c>
      <c r="DA106" s="34">
        <v>0</v>
      </c>
      <c r="DB106" s="34">
        <v>15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34">
        <v>0</v>
      </c>
      <c r="DI106" s="34">
        <v>0</v>
      </c>
      <c r="DJ106" s="34">
        <v>0</v>
      </c>
      <c r="DK106" s="34">
        <v>0</v>
      </c>
      <c r="DL106" s="34">
        <v>0</v>
      </c>
      <c r="DM106" s="34">
        <v>0</v>
      </c>
      <c r="DN106" s="34">
        <v>0</v>
      </c>
      <c r="DO106" s="34">
        <v>0</v>
      </c>
      <c r="DP106" s="34">
        <v>0</v>
      </c>
      <c r="DQ106" s="34">
        <v>0</v>
      </c>
      <c r="DR106" s="34">
        <v>0</v>
      </c>
      <c r="DS106" s="34">
        <v>0</v>
      </c>
      <c r="DT106" s="34">
        <v>0</v>
      </c>
      <c r="DU106" s="34">
        <v>0</v>
      </c>
      <c r="DV106" s="34">
        <v>0</v>
      </c>
      <c r="DW106" s="34">
        <v>0</v>
      </c>
      <c r="DX106" s="34">
        <v>0</v>
      </c>
      <c r="DY106" s="34">
        <v>0</v>
      </c>
      <c r="DZ106" s="34">
        <v>0</v>
      </c>
      <c r="EA106" s="34">
        <v>0</v>
      </c>
      <c r="EB106" s="34">
        <v>0</v>
      </c>
      <c r="EC106" s="34">
        <v>0</v>
      </c>
      <c r="ED106" s="17">
        <f t="shared" si="16"/>
        <v>0</v>
      </c>
      <c r="EE106" s="97">
        <f t="shared" si="40"/>
        <v>0</v>
      </c>
      <c r="EF106" s="16">
        <f t="shared" si="41"/>
        <v>0</v>
      </c>
      <c r="EG106" s="102"/>
      <c r="EH106" s="12">
        <v>0</v>
      </c>
    </row>
    <row r="107" spans="1:186">
      <c r="A107" s="12">
        <v>104</v>
      </c>
      <c r="B107" s="48" t="s">
        <v>22</v>
      </c>
      <c r="C107" s="101" t="s">
        <v>519</v>
      </c>
      <c r="D107" s="98">
        <v>4</v>
      </c>
      <c r="E107" s="98" t="s">
        <v>24</v>
      </c>
      <c r="F107" s="49" t="s">
        <v>520</v>
      </c>
      <c r="G107" s="98" t="s">
        <v>25</v>
      </c>
      <c r="H107" s="98">
        <v>150035</v>
      </c>
      <c r="I107" s="98" t="s">
        <v>26</v>
      </c>
      <c r="J107" s="16">
        <v>7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>
        <v>0</v>
      </c>
      <c r="BU107" s="47">
        <v>2</v>
      </c>
      <c r="BV107" s="47">
        <v>48</v>
      </c>
      <c r="BW107" s="47">
        <v>20</v>
      </c>
      <c r="BX107" s="47">
        <v>12</v>
      </c>
      <c r="BY107" s="34">
        <v>86</v>
      </c>
      <c r="BZ107" s="47">
        <v>14</v>
      </c>
      <c r="CA107" s="34">
        <v>43</v>
      </c>
      <c r="CB107" s="34">
        <v>59</v>
      </c>
      <c r="CC107" s="34">
        <v>33</v>
      </c>
      <c r="CD107" s="34">
        <v>28</v>
      </c>
      <c r="CE107" s="34">
        <v>8</v>
      </c>
      <c r="CF107" s="34">
        <v>9</v>
      </c>
      <c r="CG107" s="34">
        <v>34</v>
      </c>
      <c r="CH107" s="34">
        <v>18</v>
      </c>
      <c r="CI107" s="34">
        <v>25</v>
      </c>
      <c r="CJ107" s="34">
        <v>8</v>
      </c>
      <c r="CK107" s="34">
        <v>8</v>
      </c>
      <c r="CL107" s="34">
        <v>18</v>
      </c>
      <c r="CM107" s="34">
        <v>22</v>
      </c>
      <c r="CN107" s="34">
        <v>38</v>
      </c>
      <c r="CO107" s="34">
        <v>19</v>
      </c>
      <c r="CP107" s="34">
        <v>19</v>
      </c>
      <c r="CQ107" s="34">
        <v>23</v>
      </c>
      <c r="CR107" s="34">
        <v>4</v>
      </c>
      <c r="CS107" s="34">
        <v>8</v>
      </c>
      <c r="CT107" s="34">
        <v>3</v>
      </c>
      <c r="CU107" s="34">
        <v>6</v>
      </c>
      <c r="CV107" s="34">
        <v>5</v>
      </c>
      <c r="CW107" s="34">
        <v>3</v>
      </c>
      <c r="CX107" s="34">
        <v>1</v>
      </c>
      <c r="CY107" s="34">
        <v>6</v>
      </c>
      <c r="CZ107" s="34">
        <v>69</v>
      </c>
      <c r="DA107" s="34">
        <v>41</v>
      </c>
      <c r="DB107" s="34">
        <v>26</v>
      </c>
      <c r="DC107" s="34">
        <v>17</v>
      </c>
      <c r="DD107" s="34">
        <v>12</v>
      </c>
      <c r="DE107" s="34">
        <v>48</v>
      </c>
      <c r="DF107" s="34">
        <v>50</v>
      </c>
      <c r="DG107" s="34">
        <v>3</v>
      </c>
      <c r="DH107" s="34">
        <v>16</v>
      </c>
      <c r="DI107" s="34">
        <v>10</v>
      </c>
      <c r="DJ107" s="34">
        <v>12</v>
      </c>
      <c r="DK107" s="34">
        <v>52</v>
      </c>
      <c r="DL107" s="34">
        <v>29</v>
      </c>
      <c r="DM107" s="34">
        <v>28</v>
      </c>
      <c r="DN107" s="34">
        <v>25</v>
      </c>
      <c r="DO107" s="34">
        <v>31</v>
      </c>
      <c r="DP107" s="34">
        <v>34</v>
      </c>
      <c r="DQ107" s="34">
        <v>33</v>
      </c>
      <c r="DR107" s="34">
        <v>49</v>
      </c>
      <c r="DS107" s="34">
        <v>19</v>
      </c>
      <c r="DT107" s="34">
        <v>23</v>
      </c>
      <c r="DU107" s="34">
        <v>24</v>
      </c>
      <c r="DV107" s="34">
        <v>25</v>
      </c>
      <c r="DW107" s="34">
        <v>18</v>
      </c>
      <c r="DX107" s="34">
        <v>27</v>
      </c>
      <c r="DY107" s="34">
        <v>29</v>
      </c>
      <c r="DZ107" s="34">
        <v>15</v>
      </c>
      <c r="EA107" s="34">
        <v>18</v>
      </c>
      <c r="EB107" s="34">
        <v>7</v>
      </c>
      <c r="EC107" s="34">
        <v>0</v>
      </c>
      <c r="ED107" s="17">
        <f t="shared" si="16"/>
        <v>10</v>
      </c>
      <c r="EE107" s="17">
        <f>(J107+K107+L107+M107)-(N107+O107+P107+Q107+T107+R107+S107+ED107)</f>
        <v>-3</v>
      </c>
      <c r="EF107" s="16">
        <f t="shared" si="41"/>
        <v>43</v>
      </c>
      <c r="EG107" s="102"/>
      <c r="EH107" s="12">
        <v>0</v>
      </c>
    </row>
    <row r="108" spans="1:186" hidden="1">
      <c r="A108" s="12">
        <v>105</v>
      </c>
      <c r="B108" s="48" t="s">
        <v>22</v>
      </c>
      <c r="C108" s="47" t="s">
        <v>521</v>
      </c>
      <c r="D108" s="98">
        <v>12</v>
      </c>
      <c r="E108" s="98" t="s">
        <v>24</v>
      </c>
      <c r="F108" s="49">
        <v>1</v>
      </c>
      <c r="G108" s="98" t="s">
        <v>25</v>
      </c>
      <c r="H108" s="98">
        <v>300047</v>
      </c>
      <c r="I108" s="98" t="s">
        <v>26</v>
      </c>
      <c r="J108" s="16">
        <v>0</v>
      </c>
      <c r="K108" s="94"/>
      <c r="L108" s="94"/>
      <c r="M108" s="94"/>
      <c r="N108" s="94"/>
      <c r="O108" s="94"/>
      <c r="P108" s="94"/>
      <c r="Q108" s="94"/>
      <c r="R108" s="94"/>
      <c r="S108" s="103">
        <v>50</v>
      </c>
      <c r="T108" s="94"/>
      <c r="U108" s="90"/>
      <c r="V108" s="90"/>
      <c r="W108" s="90"/>
      <c r="X108" s="90"/>
      <c r="Y108" s="90"/>
      <c r="Z108" s="90"/>
      <c r="AA108" s="90"/>
      <c r="AB108" s="90"/>
      <c r="AC108" s="95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  <c r="AQ108" s="90"/>
      <c r="AR108" s="90"/>
      <c r="AS108" s="90"/>
      <c r="AT108" s="90"/>
      <c r="AU108" s="90"/>
      <c r="AV108" s="90"/>
      <c r="AW108" s="90"/>
      <c r="AX108" s="90"/>
      <c r="AY108" s="90"/>
      <c r="AZ108" s="90"/>
      <c r="BA108" s="90"/>
      <c r="BB108" s="90"/>
      <c r="BC108" s="90"/>
      <c r="BD108" s="90"/>
      <c r="BE108" s="90"/>
      <c r="BF108" s="90"/>
      <c r="BG108" s="90"/>
      <c r="BH108" s="90"/>
      <c r="BI108" s="90"/>
      <c r="BJ108" s="90"/>
      <c r="BK108" s="90"/>
      <c r="BL108" s="90"/>
      <c r="BM108" s="90"/>
      <c r="BN108" s="90"/>
      <c r="BO108" s="90"/>
      <c r="BP108" s="90"/>
      <c r="BQ108" s="90"/>
      <c r="BR108" s="90"/>
      <c r="BS108" s="90"/>
      <c r="BT108" s="90"/>
      <c r="BU108" s="90"/>
      <c r="BV108" s="90"/>
      <c r="BW108" s="90"/>
      <c r="BX108" s="90"/>
      <c r="BY108" s="90"/>
      <c r="BZ108" s="90"/>
      <c r="CA108" s="90">
        <v>0</v>
      </c>
      <c r="CB108" s="90">
        <v>0</v>
      </c>
      <c r="CC108" s="90">
        <v>0</v>
      </c>
      <c r="CD108" s="90">
        <v>0</v>
      </c>
      <c r="CE108" s="90">
        <v>0</v>
      </c>
      <c r="CF108" s="90">
        <v>0</v>
      </c>
      <c r="CG108" s="96">
        <v>0</v>
      </c>
      <c r="CH108" s="96">
        <v>0</v>
      </c>
      <c r="CI108" s="96">
        <v>0</v>
      </c>
      <c r="CJ108" s="96">
        <v>60</v>
      </c>
      <c r="CK108" s="96">
        <v>0</v>
      </c>
      <c r="CL108" s="96">
        <v>0</v>
      </c>
      <c r="CM108" s="96">
        <v>0</v>
      </c>
      <c r="CN108" s="96">
        <v>0</v>
      </c>
      <c r="CO108" s="96">
        <v>0</v>
      </c>
      <c r="CP108" s="96">
        <v>0</v>
      </c>
      <c r="CQ108" s="96">
        <v>0</v>
      </c>
      <c r="CR108" s="96">
        <v>0</v>
      </c>
      <c r="CS108" s="96">
        <v>0</v>
      </c>
      <c r="CT108" s="96">
        <v>0</v>
      </c>
      <c r="CU108" s="34">
        <v>0</v>
      </c>
      <c r="CV108" s="34">
        <v>0</v>
      </c>
      <c r="CW108" s="34">
        <v>0</v>
      </c>
      <c r="CX108" s="34">
        <v>0</v>
      </c>
      <c r="CY108" s="34">
        <v>0</v>
      </c>
      <c r="CZ108" s="34">
        <v>0</v>
      </c>
      <c r="DA108" s="34">
        <v>0</v>
      </c>
      <c r="DB108" s="34">
        <v>0</v>
      </c>
      <c r="DC108" s="34">
        <v>0</v>
      </c>
      <c r="DD108" s="34">
        <v>0</v>
      </c>
      <c r="DE108" s="34">
        <v>0</v>
      </c>
      <c r="DF108" s="34">
        <v>0</v>
      </c>
      <c r="DG108" s="34">
        <v>0</v>
      </c>
      <c r="DH108" s="34">
        <v>0</v>
      </c>
      <c r="DI108" s="34">
        <v>0</v>
      </c>
      <c r="DJ108" s="34">
        <v>0</v>
      </c>
      <c r="DK108" s="34">
        <v>0</v>
      </c>
      <c r="DL108" s="34">
        <v>0</v>
      </c>
      <c r="DM108" s="34">
        <v>0</v>
      </c>
      <c r="DN108" s="34">
        <v>0</v>
      </c>
      <c r="DO108" s="34">
        <v>0</v>
      </c>
      <c r="DP108" s="34">
        <v>0</v>
      </c>
      <c r="DQ108" s="34">
        <v>0</v>
      </c>
      <c r="DR108" s="34">
        <v>0</v>
      </c>
      <c r="DS108" s="34">
        <v>0</v>
      </c>
      <c r="DT108" s="34">
        <v>0</v>
      </c>
      <c r="DU108" s="34">
        <v>0</v>
      </c>
      <c r="DV108" s="34">
        <v>0</v>
      </c>
      <c r="DW108" s="34">
        <v>0</v>
      </c>
      <c r="DX108" s="34">
        <v>0</v>
      </c>
      <c r="DY108" s="34">
        <v>0</v>
      </c>
      <c r="DZ108" s="34">
        <v>0</v>
      </c>
      <c r="EA108" s="34">
        <v>0</v>
      </c>
      <c r="EB108" s="34">
        <v>0</v>
      </c>
      <c r="EC108" s="34">
        <v>0</v>
      </c>
      <c r="ED108" s="17">
        <f t="shared" si="16"/>
        <v>0</v>
      </c>
      <c r="EE108" s="97">
        <f t="shared" si="40"/>
        <v>-50</v>
      </c>
      <c r="EF108" s="93">
        <f t="shared" si="41"/>
        <v>50</v>
      </c>
      <c r="EG108" s="102"/>
      <c r="EH108" s="12">
        <v>0</v>
      </c>
    </row>
    <row r="109" spans="1:186" hidden="1">
      <c r="A109" s="12">
        <v>106</v>
      </c>
      <c r="B109" s="48" t="s">
        <v>22</v>
      </c>
      <c r="C109" s="47" t="s">
        <v>527</v>
      </c>
      <c r="D109" s="99">
        <v>4</v>
      </c>
      <c r="E109" s="99" t="s">
        <v>24</v>
      </c>
      <c r="F109" s="49">
        <v>4</v>
      </c>
      <c r="G109" s="99" t="s">
        <v>25</v>
      </c>
      <c r="H109" s="99">
        <v>891553</v>
      </c>
      <c r="I109" s="99" t="s">
        <v>26</v>
      </c>
      <c r="J109" s="16">
        <v>184</v>
      </c>
      <c r="K109" s="68">
        <f>144*4</f>
        <v>576</v>
      </c>
      <c r="L109" s="68"/>
      <c r="M109" s="68">
        <f>144*4</f>
        <v>576</v>
      </c>
      <c r="N109" s="68"/>
      <c r="O109" s="68"/>
      <c r="P109" s="68"/>
      <c r="Q109" s="68"/>
      <c r="R109" s="68"/>
      <c r="S109" s="68"/>
      <c r="T109" s="68"/>
      <c r="U109" s="47"/>
      <c r="V109" s="47"/>
      <c r="W109" s="47"/>
      <c r="X109" s="47"/>
      <c r="Y109" s="47"/>
      <c r="Z109" s="47"/>
      <c r="AA109" s="47"/>
      <c r="AB109" s="47"/>
      <c r="AC109" s="69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>
        <v>0</v>
      </c>
      <c r="CP109" s="47">
        <v>0</v>
      </c>
      <c r="CQ109" s="47">
        <v>0</v>
      </c>
      <c r="CR109" s="47">
        <v>0</v>
      </c>
      <c r="CS109" s="47">
        <v>0</v>
      </c>
      <c r="CT109" s="47">
        <v>0</v>
      </c>
      <c r="CU109" s="34">
        <v>0</v>
      </c>
      <c r="CV109" s="34">
        <v>0</v>
      </c>
      <c r="CW109" s="34">
        <v>220</v>
      </c>
      <c r="CX109" s="34">
        <v>208</v>
      </c>
      <c r="CY109" s="34">
        <v>208</v>
      </c>
      <c r="CZ109" s="34">
        <v>369</v>
      </c>
      <c r="DA109" s="34">
        <v>28</v>
      </c>
      <c r="DB109" s="34">
        <v>85</v>
      </c>
      <c r="DC109" s="34">
        <v>5</v>
      </c>
      <c r="DD109" s="34">
        <v>6</v>
      </c>
      <c r="DE109" s="34">
        <v>14</v>
      </c>
      <c r="DF109" s="34">
        <v>3</v>
      </c>
      <c r="DG109" s="34">
        <v>0</v>
      </c>
      <c r="DH109" s="34">
        <v>0</v>
      </c>
      <c r="DI109" s="34">
        <v>0</v>
      </c>
      <c r="DJ109" s="34">
        <v>0</v>
      </c>
      <c r="DK109" s="34">
        <v>363</v>
      </c>
      <c r="DL109" s="34">
        <v>135</v>
      </c>
      <c r="DM109" s="34">
        <v>105</v>
      </c>
      <c r="DN109" s="34">
        <v>106</v>
      </c>
      <c r="DO109" s="34">
        <v>166</v>
      </c>
      <c r="DP109" s="34">
        <v>138</v>
      </c>
      <c r="DQ109" s="34">
        <v>306</v>
      </c>
      <c r="DR109" s="34">
        <v>122</v>
      </c>
      <c r="DS109" s="34">
        <v>126</v>
      </c>
      <c r="DT109" s="34">
        <v>94</v>
      </c>
      <c r="DU109" s="34">
        <v>113</v>
      </c>
      <c r="DV109" s="34">
        <v>35</v>
      </c>
      <c r="DW109" s="34">
        <v>12</v>
      </c>
      <c r="DX109" s="34">
        <v>138</v>
      </c>
      <c r="DY109" s="34">
        <v>221</v>
      </c>
      <c r="DZ109" s="34">
        <v>15</v>
      </c>
      <c r="EA109" s="34">
        <v>27</v>
      </c>
      <c r="EB109" s="34">
        <v>33</v>
      </c>
      <c r="EC109" s="34">
        <v>231</v>
      </c>
      <c r="ED109" s="17">
        <f t="shared" si="16"/>
        <v>76.5</v>
      </c>
      <c r="EE109" s="17">
        <f t="shared" ref="EE109" si="42">(J109+K109+L109+M109)-(N109+O109+P109+Q109+T109+R109+S109+ED109)</f>
        <v>1259.5</v>
      </c>
      <c r="EF109" s="16">
        <f>(ED109*6)-EE109</f>
        <v>-800.5</v>
      </c>
      <c r="EH109" s="12">
        <f>48*3*4</f>
        <v>576</v>
      </c>
      <c r="EJ109" s="4" t="s">
        <v>407</v>
      </c>
    </row>
    <row r="110" spans="1:186" hidden="1">
      <c r="A110" s="12">
        <v>107</v>
      </c>
      <c r="B110" s="48" t="s">
        <v>22</v>
      </c>
      <c r="C110" s="47" t="s">
        <v>538</v>
      </c>
      <c r="D110" s="113">
        <v>4</v>
      </c>
      <c r="E110" s="113" t="s">
        <v>24</v>
      </c>
      <c r="F110" s="49">
        <v>4</v>
      </c>
      <c r="G110" s="113" t="s">
        <v>25</v>
      </c>
      <c r="H110" s="113">
        <v>894322</v>
      </c>
      <c r="I110" s="113" t="s">
        <v>26</v>
      </c>
      <c r="J110" s="16">
        <v>0</v>
      </c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/>
      <c r="CP110" s="47"/>
      <c r="CQ110" s="47"/>
      <c r="CR110" s="47"/>
      <c r="CS110" s="47"/>
      <c r="CT110" s="47"/>
      <c r="CU110" s="47"/>
      <c r="CV110" s="47"/>
      <c r="CW110" s="47"/>
      <c r="CX110" s="47"/>
      <c r="CY110" s="34">
        <v>0</v>
      </c>
      <c r="CZ110" s="34">
        <v>0</v>
      </c>
      <c r="DA110" s="34">
        <v>0</v>
      </c>
      <c r="DB110" s="34">
        <v>0</v>
      </c>
      <c r="DC110" s="34">
        <v>0</v>
      </c>
      <c r="DD110" s="34">
        <v>0</v>
      </c>
      <c r="DE110" s="34">
        <v>0</v>
      </c>
      <c r="DF110" s="34">
        <v>0</v>
      </c>
      <c r="DG110" s="34">
        <v>0</v>
      </c>
      <c r="DH110" s="34">
        <v>0</v>
      </c>
      <c r="DI110" s="34">
        <v>0</v>
      </c>
      <c r="DJ110" s="34">
        <v>0</v>
      </c>
      <c r="DK110" s="34">
        <v>0</v>
      </c>
      <c r="DL110" s="34">
        <v>0</v>
      </c>
      <c r="DM110" s="34">
        <v>0</v>
      </c>
      <c r="DN110" s="34">
        <v>0</v>
      </c>
      <c r="DO110" s="34">
        <v>0</v>
      </c>
      <c r="DP110" s="34">
        <v>0</v>
      </c>
      <c r="DQ110" s="34">
        <v>0</v>
      </c>
      <c r="DR110" s="34">
        <v>0</v>
      </c>
      <c r="DS110" s="34">
        <v>0</v>
      </c>
      <c r="DT110" s="34">
        <v>0</v>
      </c>
      <c r="DU110" s="34">
        <v>0</v>
      </c>
      <c r="DV110" s="34">
        <v>0</v>
      </c>
      <c r="DW110" s="34">
        <v>0</v>
      </c>
      <c r="DX110" s="34">
        <v>0</v>
      </c>
      <c r="DY110" s="34">
        <v>0</v>
      </c>
      <c r="DZ110" s="34">
        <v>0</v>
      </c>
      <c r="EA110" s="34">
        <v>0</v>
      </c>
      <c r="EB110" s="34">
        <v>0</v>
      </c>
      <c r="EC110" s="34">
        <v>0</v>
      </c>
      <c r="ED110" s="17">
        <f t="shared" si="16"/>
        <v>0</v>
      </c>
      <c r="EE110" s="17">
        <f t="shared" ref="EE110:EE115" si="43">(J110+K110+L110+M110)-(N110+O110+P110+Q110+T110+R110+S110+ED110)</f>
        <v>0</v>
      </c>
      <c r="EF110" s="16">
        <f t="shared" ref="EF110:EF115" si="44">(ED110*4)-EE110</f>
        <v>0</v>
      </c>
      <c r="EH110" s="12">
        <v>0</v>
      </c>
    </row>
    <row r="111" spans="1:186" hidden="1">
      <c r="A111" s="12">
        <v>108</v>
      </c>
      <c r="B111" s="48" t="s">
        <v>22</v>
      </c>
      <c r="C111" s="47" t="s">
        <v>536</v>
      </c>
      <c r="D111" s="113">
        <v>6</v>
      </c>
      <c r="E111" s="113" t="s">
        <v>24</v>
      </c>
      <c r="F111" s="49">
        <v>1</v>
      </c>
      <c r="G111" s="113" t="s">
        <v>25</v>
      </c>
      <c r="H111" s="113" t="s">
        <v>537</v>
      </c>
      <c r="I111" s="113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17">
        <f t="shared" si="16"/>
        <v>0</v>
      </c>
      <c r="EE111" s="17">
        <f t="shared" si="43"/>
        <v>0</v>
      </c>
      <c r="EF111" s="16">
        <f t="shared" si="44"/>
        <v>0</v>
      </c>
      <c r="EH111" s="12">
        <v>0</v>
      </c>
    </row>
    <row r="112" spans="1:186" hidden="1">
      <c r="A112" s="12">
        <v>109</v>
      </c>
      <c r="B112" s="48" t="s">
        <v>22</v>
      </c>
      <c r="C112" s="47" t="s">
        <v>535</v>
      </c>
      <c r="D112" s="113">
        <v>4</v>
      </c>
      <c r="E112" s="113" t="s">
        <v>24</v>
      </c>
      <c r="F112" s="49">
        <v>4</v>
      </c>
      <c r="G112" s="113" t="s">
        <v>25</v>
      </c>
      <c r="H112" s="113">
        <v>894325</v>
      </c>
      <c r="I112" s="113" t="s">
        <v>26</v>
      </c>
      <c r="J112" s="16">
        <v>100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15</v>
      </c>
      <c r="DD112" s="34">
        <v>36</v>
      </c>
      <c r="DE112" s="34">
        <v>12</v>
      </c>
      <c r="DF112" s="34">
        <v>16</v>
      </c>
      <c r="DG112" s="34">
        <v>10</v>
      </c>
      <c r="DH112" s="34">
        <v>6</v>
      </c>
      <c r="DI112" s="34">
        <v>11</v>
      </c>
      <c r="DJ112" s="34">
        <v>1</v>
      </c>
      <c r="DK112" s="34">
        <v>15</v>
      </c>
      <c r="DL112" s="34">
        <v>6</v>
      </c>
      <c r="DM112" s="34">
        <v>6</v>
      </c>
      <c r="DN112" s="34">
        <v>12</v>
      </c>
      <c r="DO112" s="34">
        <v>13</v>
      </c>
      <c r="DP112" s="34">
        <v>13</v>
      </c>
      <c r="DQ112" s="34">
        <v>14</v>
      </c>
      <c r="DR112" s="34">
        <v>97</v>
      </c>
      <c r="DS112" s="34">
        <v>3</v>
      </c>
      <c r="DT112" s="34">
        <v>25</v>
      </c>
      <c r="DU112" s="34">
        <v>9</v>
      </c>
      <c r="DV112" s="34">
        <v>2</v>
      </c>
      <c r="DW112" s="34">
        <v>2</v>
      </c>
      <c r="DX112" s="34">
        <v>15</v>
      </c>
      <c r="DY112" s="34">
        <v>27</v>
      </c>
      <c r="DZ112" s="34">
        <v>16</v>
      </c>
      <c r="EA112" s="34">
        <v>6</v>
      </c>
      <c r="EB112" s="34">
        <v>21</v>
      </c>
      <c r="EC112" s="34">
        <v>7</v>
      </c>
      <c r="ED112" s="17">
        <f t="shared" si="16"/>
        <v>12.5</v>
      </c>
      <c r="EE112" s="17">
        <f t="shared" si="43"/>
        <v>87.5</v>
      </c>
      <c r="EF112" s="16">
        <f t="shared" si="44"/>
        <v>-37.5</v>
      </c>
      <c r="EH112" s="12">
        <v>0</v>
      </c>
      <c r="EJ112" s="4" t="s">
        <v>407</v>
      </c>
    </row>
    <row r="113" spans="1:140" hidden="1">
      <c r="A113" s="12">
        <v>110</v>
      </c>
      <c r="B113" s="48" t="s">
        <v>22</v>
      </c>
      <c r="C113" s="47" t="s">
        <v>534</v>
      </c>
      <c r="D113" s="113">
        <v>6</v>
      </c>
      <c r="E113" s="113" t="s">
        <v>24</v>
      </c>
      <c r="F113" s="49">
        <v>1</v>
      </c>
      <c r="G113" s="113" t="s">
        <v>25</v>
      </c>
      <c r="H113" s="113">
        <v>894324</v>
      </c>
      <c r="I113" s="113" t="s">
        <v>26</v>
      </c>
      <c r="J113" s="16">
        <v>0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0</v>
      </c>
      <c r="DD113" s="34">
        <v>0</v>
      </c>
      <c r="DE113" s="34">
        <v>0</v>
      </c>
      <c r="DF113" s="34">
        <v>0</v>
      </c>
      <c r="DG113" s="34">
        <v>0</v>
      </c>
      <c r="DH113" s="34">
        <v>0</v>
      </c>
      <c r="DI113" s="34">
        <v>0</v>
      </c>
      <c r="DJ113" s="34">
        <v>0</v>
      </c>
      <c r="DK113" s="34">
        <v>0</v>
      </c>
      <c r="DL113" s="34">
        <v>0</v>
      </c>
      <c r="DM113" s="34">
        <v>0</v>
      </c>
      <c r="DN113" s="34">
        <v>0</v>
      </c>
      <c r="DO113" s="34">
        <v>0</v>
      </c>
      <c r="DP113" s="34">
        <v>0</v>
      </c>
      <c r="DQ113" s="34">
        <v>0</v>
      </c>
      <c r="DR113" s="34">
        <v>0</v>
      </c>
      <c r="DS113" s="34">
        <v>0</v>
      </c>
      <c r="DT113" s="34">
        <v>0</v>
      </c>
      <c r="DU113" s="34">
        <v>0</v>
      </c>
      <c r="DV113" s="34">
        <v>0</v>
      </c>
      <c r="DW113" s="34">
        <v>0</v>
      </c>
      <c r="DX113" s="34">
        <v>0</v>
      </c>
      <c r="DY113" s="34">
        <v>0</v>
      </c>
      <c r="DZ113" s="34">
        <v>0</v>
      </c>
      <c r="EA113" s="34">
        <v>0</v>
      </c>
      <c r="EB113" s="34">
        <v>0</v>
      </c>
      <c r="EC113" s="34">
        <v>0</v>
      </c>
      <c r="ED113" s="17">
        <f t="shared" si="16"/>
        <v>0</v>
      </c>
      <c r="EE113" s="17">
        <f t="shared" si="43"/>
        <v>0</v>
      </c>
      <c r="EF113" s="16">
        <f t="shared" si="44"/>
        <v>0</v>
      </c>
      <c r="EH113" s="12">
        <v>0</v>
      </c>
    </row>
    <row r="114" spans="1:140" hidden="1">
      <c r="A114" s="12">
        <v>111</v>
      </c>
      <c r="B114" s="48" t="s">
        <v>22</v>
      </c>
      <c r="C114" s="47" t="s">
        <v>532</v>
      </c>
      <c r="D114" s="113">
        <v>4</v>
      </c>
      <c r="E114" s="113" t="s">
        <v>24</v>
      </c>
      <c r="F114" s="49">
        <v>4</v>
      </c>
      <c r="G114" s="113" t="s">
        <v>25</v>
      </c>
      <c r="H114" s="113">
        <v>894328</v>
      </c>
      <c r="I114" s="113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17">
        <f t="shared" si="16"/>
        <v>0</v>
      </c>
      <c r="EE114" s="17">
        <f t="shared" si="43"/>
        <v>0</v>
      </c>
      <c r="EF114" s="16">
        <f t="shared" si="44"/>
        <v>0</v>
      </c>
      <c r="EH114" s="12">
        <v>0</v>
      </c>
    </row>
    <row r="115" spans="1:140" hidden="1">
      <c r="A115" s="12">
        <v>112</v>
      </c>
      <c r="B115" s="48" t="s">
        <v>22</v>
      </c>
      <c r="C115" s="47" t="s">
        <v>533</v>
      </c>
      <c r="D115" s="113">
        <v>6</v>
      </c>
      <c r="E115" s="113" t="s">
        <v>24</v>
      </c>
      <c r="F115" s="49">
        <v>1</v>
      </c>
      <c r="G115" s="113" t="s">
        <v>25</v>
      </c>
      <c r="H115" s="113">
        <v>894327</v>
      </c>
      <c r="I115" s="113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17">
        <f t="shared" si="16"/>
        <v>0</v>
      </c>
      <c r="EE115" s="17">
        <f t="shared" si="43"/>
        <v>0</v>
      </c>
      <c r="EF115" s="16">
        <f t="shared" si="44"/>
        <v>0</v>
      </c>
      <c r="EH115" s="12">
        <v>0</v>
      </c>
    </row>
    <row r="116" spans="1:140" hidden="1">
      <c r="A116" s="12">
        <v>113</v>
      </c>
      <c r="B116" s="48" t="s">
        <v>22</v>
      </c>
      <c r="C116" s="47" t="s">
        <v>539</v>
      </c>
      <c r="D116" s="113">
        <v>24</v>
      </c>
      <c r="E116" s="113" t="s">
        <v>24</v>
      </c>
      <c r="F116" s="49">
        <v>1</v>
      </c>
      <c r="G116" s="113" t="s">
        <v>25</v>
      </c>
      <c r="H116" s="113">
        <v>891906</v>
      </c>
      <c r="I116" s="113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17">
        <f t="shared" si="16"/>
        <v>0</v>
      </c>
      <c r="EE116" s="17">
        <f t="shared" ref="EE116" si="45">(J116+K116+L116+M116)-(N116+O116+P116+Q116+T116+R116+S116+ED116)</f>
        <v>0</v>
      </c>
      <c r="EF116" s="16">
        <f t="shared" ref="EF116" si="46">(ED116*4)-EE116</f>
        <v>0</v>
      </c>
      <c r="EH116" s="12">
        <v>0</v>
      </c>
    </row>
    <row r="117" spans="1:140" hidden="1">
      <c r="A117" s="12">
        <v>114</v>
      </c>
      <c r="B117" s="48" t="s">
        <v>22</v>
      </c>
      <c r="C117" s="47" t="s">
        <v>542</v>
      </c>
      <c r="D117" s="114">
        <v>1</v>
      </c>
      <c r="E117" s="114" t="s">
        <v>24</v>
      </c>
      <c r="F117" s="49">
        <v>200</v>
      </c>
      <c r="G117" s="114" t="s">
        <v>25</v>
      </c>
      <c r="H117" s="114">
        <v>887713</v>
      </c>
      <c r="I117" s="114" t="s">
        <v>28</v>
      </c>
      <c r="J117" s="16">
        <v>4</v>
      </c>
      <c r="K117" s="68">
        <f>32</f>
        <v>32</v>
      </c>
      <c r="L117" s="68">
        <f>32+80</f>
        <v>112</v>
      </c>
      <c r="M117" s="68"/>
      <c r="N117" s="68"/>
      <c r="O117" s="68"/>
      <c r="P117" s="68"/>
      <c r="Q117" s="68"/>
      <c r="R117" s="68"/>
      <c r="S117" s="68">
        <f>80</f>
        <v>80</v>
      </c>
      <c r="T117" s="68">
        <f>30</f>
        <v>30</v>
      </c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34">
        <v>0</v>
      </c>
      <c r="DA117" s="34">
        <v>0</v>
      </c>
      <c r="DB117" s="34">
        <v>0</v>
      </c>
      <c r="DC117" s="34">
        <v>17</v>
      </c>
      <c r="DD117" s="34">
        <v>6</v>
      </c>
      <c r="DE117" s="34">
        <v>5</v>
      </c>
      <c r="DF117" s="34">
        <v>2</v>
      </c>
      <c r="DG117" s="34">
        <v>3</v>
      </c>
      <c r="DH117" s="34">
        <v>3</v>
      </c>
      <c r="DI117" s="34">
        <v>1</v>
      </c>
      <c r="DJ117" s="34">
        <v>0</v>
      </c>
      <c r="DK117" s="34">
        <v>38</v>
      </c>
      <c r="DL117" s="34">
        <v>16</v>
      </c>
      <c r="DM117" s="34">
        <v>11</v>
      </c>
      <c r="DN117" s="34">
        <v>18</v>
      </c>
      <c r="DO117" s="34">
        <v>5</v>
      </c>
      <c r="DP117" s="34">
        <v>12</v>
      </c>
      <c r="DQ117" s="34">
        <v>29</v>
      </c>
      <c r="DR117" s="34">
        <v>7</v>
      </c>
      <c r="DS117" s="34">
        <v>9</v>
      </c>
      <c r="DT117" s="34">
        <v>4</v>
      </c>
      <c r="DU117" s="34">
        <v>16</v>
      </c>
      <c r="DV117" s="34">
        <v>38</v>
      </c>
      <c r="DW117" s="34">
        <v>7</v>
      </c>
      <c r="DX117" s="34">
        <v>25</v>
      </c>
      <c r="DY117" s="34">
        <v>13</v>
      </c>
      <c r="DZ117" s="34">
        <v>35</v>
      </c>
      <c r="EA117" s="34">
        <v>6</v>
      </c>
      <c r="EB117" s="34">
        <v>14.02</v>
      </c>
      <c r="EC117" s="34">
        <v>13</v>
      </c>
      <c r="ED117" s="17">
        <f t="shared" si="16"/>
        <v>17.004999999999999</v>
      </c>
      <c r="EE117" s="17">
        <f t="shared" ref="EE117" si="47">(J117+K117+L117+M117)-(N117+O117+P117+Q117+T117+R117+S117+ED117)</f>
        <v>20.995000000000005</v>
      </c>
      <c r="EF117" s="16">
        <f>(ED117*6)-EE117</f>
        <v>81.034999999999997</v>
      </c>
      <c r="EH117" s="12">
        <v>40</v>
      </c>
      <c r="EJ117" s="4" t="s">
        <v>543</v>
      </c>
    </row>
    <row r="118" spans="1:140" hidden="1">
      <c r="A118" s="12">
        <v>115</v>
      </c>
      <c r="B118" s="48" t="s">
        <v>22</v>
      </c>
      <c r="C118" s="72" t="s">
        <v>164</v>
      </c>
      <c r="D118" s="117">
        <v>4</v>
      </c>
      <c r="E118" s="117" t="s">
        <v>24</v>
      </c>
      <c r="F118" s="49">
        <v>4</v>
      </c>
      <c r="G118" s="117" t="s">
        <v>25</v>
      </c>
      <c r="H118" s="117">
        <v>891908</v>
      </c>
      <c r="I118" s="117" t="s">
        <v>26</v>
      </c>
      <c r="J118" s="16">
        <v>431</v>
      </c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47"/>
      <c r="DA118" s="47"/>
      <c r="DB118" s="47"/>
      <c r="DC118" s="47">
        <v>0</v>
      </c>
      <c r="DD118" s="47">
        <v>0</v>
      </c>
      <c r="DE118" s="47">
        <v>0</v>
      </c>
      <c r="DF118" s="47">
        <v>0</v>
      </c>
      <c r="DG118" s="47">
        <v>0</v>
      </c>
      <c r="DH118" s="47">
        <v>0</v>
      </c>
      <c r="DI118" s="47">
        <v>0</v>
      </c>
      <c r="DJ118" s="34">
        <v>5</v>
      </c>
      <c r="DK118" s="34">
        <v>19</v>
      </c>
      <c r="DL118" s="34">
        <v>2</v>
      </c>
      <c r="DM118" s="34">
        <v>8</v>
      </c>
      <c r="DN118" s="34">
        <v>6</v>
      </c>
      <c r="DO118" s="34">
        <v>5</v>
      </c>
      <c r="DP118" s="34">
        <v>2</v>
      </c>
      <c r="DQ118" s="34">
        <v>4</v>
      </c>
      <c r="DR118" s="34">
        <v>10</v>
      </c>
      <c r="DS118" s="34">
        <v>0</v>
      </c>
      <c r="DT118" s="34">
        <v>0</v>
      </c>
      <c r="DU118" s="34">
        <v>2</v>
      </c>
      <c r="DV118" s="34">
        <v>2</v>
      </c>
      <c r="DW118" s="34">
        <v>0</v>
      </c>
      <c r="DX118" s="34">
        <v>4</v>
      </c>
      <c r="DY118" s="34">
        <v>7</v>
      </c>
      <c r="DZ118" s="34">
        <v>5</v>
      </c>
      <c r="EA118" s="34">
        <v>12</v>
      </c>
      <c r="EB118" s="34">
        <v>0</v>
      </c>
      <c r="EC118" s="34">
        <v>4</v>
      </c>
      <c r="ED118" s="17">
        <f t="shared" si="16"/>
        <v>5.25</v>
      </c>
      <c r="EE118" s="17">
        <f t="shared" ref="EE118" si="48">(J118+K118+L118+M118)-(N118+O118+P118+Q118+T118+R118+S118+ED118)</f>
        <v>425.75</v>
      </c>
      <c r="EF118" s="16">
        <f t="shared" ref="EF118" si="49">(ED118*4)-EE118</f>
        <v>-404.75</v>
      </c>
      <c r="EH118" s="12">
        <v>0</v>
      </c>
    </row>
    <row r="119" spans="1:140" hidden="1">
      <c r="A119" s="12">
        <v>116</v>
      </c>
      <c r="B119" s="48" t="s">
        <v>22</v>
      </c>
      <c r="C119" s="47" t="s">
        <v>573</v>
      </c>
      <c r="D119" s="118">
        <v>1</v>
      </c>
      <c r="E119" s="118" t="s">
        <v>24</v>
      </c>
      <c r="F119" s="49">
        <v>20</v>
      </c>
      <c r="G119" s="118" t="s">
        <v>25</v>
      </c>
      <c r="H119" s="118">
        <v>889677</v>
      </c>
      <c r="I119" s="118" t="s">
        <v>29</v>
      </c>
      <c r="J119" s="16">
        <v>1</v>
      </c>
      <c r="K119" s="68"/>
      <c r="L119" s="68"/>
      <c r="M119" s="68"/>
      <c r="N119" s="68"/>
      <c r="O119" s="68"/>
      <c r="P119" s="68"/>
      <c r="Q119" s="68"/>
      <c r="R119" s="68"/>
      <c r="S119" s="68">
        <v>100</v>
      </c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0</v>
      </c>
      <c r="DK119" s="34">
        <v>0</v>
      </c>
      <c r="DL119" s="34">
        <v>100</v>
      </c>
      <c r="DM119" s="34">
        <v>0</v>
      </c>
      <c r="DN119" s="34">
        <v>0</v>
      </c>
      <c r="DO119" s="34">
        <v>0</v>
      </c>
      <c r="DP119" s="34">
        <v>0</v>
      </c>
      <c r="DQ119" s="34">
        <v>0</v>
      </c>
      <c r="DR119" s="34">
        <v>100</v>
      </c>
      <c r="DS119" s="34">
        <v>0</v>
      </c>
      <c r="DT119" s="34">
        <v>0</v>
      </c>
      <c r="DU119" s="34">
        <v>1</v>
      </c>
      <c r="DV119" s="34">
        <v>0</v>
      </c>
      <c r="DW119" s="34">
        <v>0</v>
      </c>
      <c r="DX119" s="34">
        <v>0</v>
      </c>
      <c r="DY119" s="34">
        <v>1</v>
      </c>
      <c r="DZ119" s="34">
        <v>1</v>
      </c>
      <c r="EA119" s="34">
        <v>0</v>
      </c>
      <c r="EB119" s="34">
        <v>6</v>
      </c>
      <c r="EC119" s="34">
        <v>0</v>
      </c>
      <c r="ED119" s="17">
        <f t="shared" si="16"/>
        <v>1.75</v>
      </c>
      <c r="EE119" s="17">
        <f t="shared" ref="EE119" si="50">(J119+K119+L119+M119)-(N119+O119+P119+Q119+T119+R119+S119+ED119)</f>
        <v>-100.75</v>
      </c>
      <c r="EF119" s="16">
        <f t="shared" ref="EF119" si="51">(ED119*4)-EE119</f>
        <v>107.75</v>
      </c>
      <c r="EH119" s="12">
        <v>0</v>
      </c>
    </row>
    <row r="120" spans="1:140" hidden="1">
      <c r="A120" s="12">
        <v>117</v>
      </c>
      <c r="B120" s="48" t="s">
        <v>22</v>
      </c>
      <c r="C120" s="47" t="s">
        <v>595</v>
      </c>
      <c r="D120" s="120">
        <v>4</v>
      </c>
      <c r="E120" s="120" t="s">
        <v>24</v>
      </c>
      <c r="F120" s="49">
        <v>1</v>
      </c>
      <c r="G120" s="120" t="s">
        <v>25</v>
      </c>
      <c r="H120" s="120">
        <v>883081</v>
      </c>
      <c r="I120" s="120" t="s">
        <v>26</v>
      </c>
      <c r="J120" s="16">
        <v>21</v>
      </c>
      <c r="K120" s="68"/>
      <c r="L120" s="68">
        <f>280*4</f>
        <v>1120</v>
      </c>
      <c r="M120" s="68"/>
      <c r="N120" s="68"/>
      <c r="O120" s="68"/>
      <c r="P120" s="68"/>
      <c r="Q120" s="68"/>
      <c r="R120" s="68"/>
      <c r="S120" s="68"/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/>
      <c r="DD120" s="47"/>
      <c r="DE120" s="47"/>
      <c r="DF120" s="47"/>
      <c r="DG120" s="47"/>
      <c r="DH120" s="47"/>
      <c r="DI120" s="47"/>
      <c r="DJ120" s="34">
        <v>0</v>
      </c>
      <c r="DK120" s="34">
        <v>0</v>
      </c>
      <c r="DL120" s="34">
        <v>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0</v>
      </c>
      <c r="DS120" s="34">
        <v>0</v>
      </c>
      <c r="DT120" s="34">
        <v>0</v>
      </c>
      <c r="DU120" s="34">
        <v>0</v>
      </c>
      <c r="DV120" s="34">
        <v>0</v>
      </c>
      <c r="DW120" s="34">
        <v>52</v>
      </c>
      <c r="DX120" s="34">
        <v>84</v>
      </c>
      <c r="DY120" s="34">
        <v>52</v>
      </c>
      <c r="DZ120" s="34">
        <v>40</v>
      </c>
      <c r="EA120" s="34">
        <v>12</v>
      </c>
      <c r="EB120" s="34">
        <v>15</v>
      </c>
      <c r="EC120" s="34">
        <v>0</v>
      </c>
      <c r="ED120" s="17">
        <f t="shared" si="16"/>
        <v>16.75</v>
      </c>
      <c r="EE120" s="17">
        <f t="shared" ref="EE120" si="52">(J120+K120+L120+M120)-(N120+O120+P120+Q120+T120+R120+S120+ED120)</f>
        <v>1124.25</v>
      </c>
      <c r="EF120" s="16">
        <f>(ED120*6)-EE120</f>
        <v>-1023.75</v>
      </c>
      <c r="EH120" s="12">
        <f>280*4</f>
        <v>1120</v>
      </c>
      <c r="EJ120" s="4" t="s">
        <v>617</v>
      </c>
    </row>
    <row r="121" spans="1:140" hidden="1">
      <c r="A121" s="12">
        <v>118</v>
      </c>
      <c r="B121" s="48" t="s">
        <v>22</v>
      </c>
      <c r="C121" s="47" t="s">
        <v>596</v>
      </c>
      <c r="D121" s="121">
        <v>24</v>
      </c>
      <c r="E121" s="121" t="s">
        <v>24</v>
      </c>
      <c r="F121" s="49">
        <v>120</v>
      </c>
      <c r="G121" s="121" t="s">
        <v>597</v>
      </c>
      <c r="H121" s="121">
        <v>900685</v>
      </c>
      <c r="I121" s="121" t="s">
        <v>26</v>
      </c>
      <c r="J121" s="16">
        <v>2119</v>
      </c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0</v>
      </c>
      <c r="DX121" s="34">
        <v>0</v>
      </c>
      <c r="DY121" s="34">
        <v>0</v>
      </c>
      <c r="DZ121" s="34">
        <v>1070</v>
      </c>
      <c r="EA121" s="34">
        <v>1938</v>
      </c>
      <c r="EB121" s="34">
        <v>2794</v>
      </c>
      <c r="EC121" s="34">
        <v>767</v>
      </c>
      <c r="ED121" s="17">
        <f t="shared" si="16"/>
        <v>1642.25</v>
      </c>
      <c r="EE121" s="17">
        <f t="shared" ref="EE121" si="53">(J121+K121+L121+M121)-(N121+O121+P121+Q121+T121+R121+S121+ED121)</f>
        <v>476.75</v>
      </c>
      <c r="EF121" s="16">
        <f t="shared" ref="EF121" si="54">(ED121*4)-EE121</f>
        <v>6092.25</v>
      </c>
      <c r="EH121" s="12">
        <v>0</v>
      </c>
      <c r="EJ121" s="4" t="s">
        <v>598</v>
      </c>
    </row>
  </sheetData>
  <autoFilter ref="A4:GC121">
    <filterColumn colId="7">
      <filters>
        <filter val="150035"/>
        <filter val="3140115-120"/>
        <filter val="450012"/>
        <filter val="450013"/>
      </filters>
    </filterColumn>
  </autoFilter>
  <mergeCells count="161">
    <mergeCell ref="DY3:DY4"/>
    <mergeCell ref="FO3:FO4"/>
    <mergeCell ref="FH3:FH4"/>
    <mergeCell ref="FC3:FC4"/>
    <mergeCell ref="FD3:FD4"/>
    <mergeCell ref="FN3:FN4"/>
    <mergeCell ref="FI3:FI4"/>
    <mergeCell ref="FE3:FE4"/>
    <mergeCell ref="FF3:FF4"/>
    <mergeCell ref="FM3:FM4"/>
    <mergeCell ref="FJ3:FJ4"/>
    <mergeCell ref="FK3:FK4"/>
    <mergeCell ref="FG3:FG4"/>
    <mergeCell ref="FL3:FL4"/>
    <mergeCell ref="DZ3:DZ4"/>
    <mergeCell ref="EA3:EA4"/>
    <mergeCell ref="EB3:EB4"/>
    <mergeCell ref="EC3:EC4"/>
    <mergeCell ref="CP3:CP4"/>
    <mergeCell ref="CQ3:CQ4"/>
    <mergeCell ref="DG3:DG4"/>
    <mergeCell ref="DL3:DL4"/>
    <mergeCell ref="FA3:FA4"/>
    <mergeCell ref="EV3:EV4"/>
    <mergeCell ref="EW3:EW4"/>
    <mergeCell ref="FB3:FB4"/>
    <mergeCell ref="EZ3:EZ4"/>
    <mergeCell ref="EY3:EY4"/>
    <mergeCell ref="EX3:EX4"/>
    <mergeCell ref="EU3:EU4"/>
    <mergeCell ref="ET3:ET4"/>
    <mergeCell ref="EQ3:EQ4"/>
    <mergeCell ref="ER3:ER4"/>
    <mergeCell ref="EN3:EN4"/>
    <mergeCell ref="EO3:EO4"/>
    <mergeCell ref="EP3:EP4"/>
    <mergeCell ref="CU3:CU4"/>
    <mergeCell ref="CV3:CV4"/>
    <mergeCell ref="CW3:CW4"/>
    <mergeCell ref="CX3:CX4"/>
    <mergeCell ref="CY3:CY4"/>
    <mergeCell ref="CZ3:CZ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DA3:DA4"/>
    <mergeCell ref="DB3:DB4"/>
    <mergeCell ref="DC3:DC4"/>
    <mergeCell ref="DD3:DD4"/>
    <mergeCell ref="DE3:DE4"/>
    <mergeCell ref="DF3:DF4"/>
    <mergeCell ref="EM3:EM4"/>
    <mergeCell ref="EK3:EK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EE3:EE4"/>
    <mergeCell ref="EF3:EF4"/>
    <mergeCell ref="EH3:EH4"/>
    <mergeCell ref="AU3:AU4"/>
    <mergeCell ref="AV3:AV4"/>
    <mergeCell ref="BS3:BS4"/>
    <mergeCell ref="AW3:AW4"/>
    <mergeCell ref="AX3:AX4"/>
    <mergeCell ref="AY3:AY4"/>
    <mergeCell ref="AZ3:AZ4"/>
    <mergeCell ref="BG3:BG4"/>
    <mergeCell ref="ED3:ED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ED1"/>
    <mergeCell ref="EK1:FC1"/>
    <mergeCell ref="AL3:AL4"/>
    <mergeCell ref="EL3:EL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S3:ES4"/>
  </mergeCells>
  <conditionalFormatting sqref="H87:H93 H1:H4 H6:H20 H37:H65 H22:H35 H70:H78 H96:H102 H109:H1048576">
    <cfRule type="duplicateValues" dxfId="74" priority="99"/>
  </conditionalFormatting>
  <conditionalFormatting sqref="H66">
    <cfRule type="duplicateValues" dxfId="73" priority="98"/>
  </conditionalFormatting>
  <conditionalFormatting sqref="H67:H68">
    <cfRule type="duplicateValues" dxfId="72" priority="97"/>
  </conditionalFormatting>
  <conditionalFormatting sqref="H5">
    <cfRule type="duplicateValues" dxfId="71" priority="95"/>
  </conditionalFormatting>
  <conditionalFormatting sqref="H36">
    <cfRule type="duplicateValues" dxfId="70" priority="94"/>
  </conditionalFormatting>
  <conditionalFormatting sqref="H21">
    <cfRule type="duplicateValues" dxfId="69" priority="93"/>
  </conditionalFormatting>
  <conditionalFormatting sqref="H69">
    <cfRule type="duplicateValues" dxfId="68" priority="91"/>
  </conditionalFormatting>
  <conditionalFormatting sqref="H70:H73">
    <cfRule type="duplicateValues" dxfId="67" priority="90"/>
  </conditionalFormatting>
  <conditionalFormatting sqref="H74:H78">
    <cfRule type="duplicateValues" dxfId="66" priority="89"/>
  </conditionalFormatting>
  <conditionalFormatting sqref="H81:H82">
    <cfRule type="duplicateValues" dxfId="65" priority="83"/>
  </conditionalFormatting>
  <conditionalFormatting sqref="C81:C83">
    <cfRule type="duplicateValues" dxfId="64" priority="81"/>
    <cfRule type="duplicateValues" dxfId="63" priority="82"/>
  </conditionalFormatting>
  <conditionalFormatting sqref="C81:C83">
    <cfRule type="duplicateValues" dxfId="62" priority="80"/>
  </conditionalFormatting>
  <conditionalFormatting sqref="C81:C83">
    <cfRule type="duplicateValues" dxfId="61" priority="79"/>
  </conditionalFormatting>
  <conditionalFormatting sqref="B84 D84:I84">
    <cfRule type="duplicateValues" dxfId="60" priority="65"/>
    <cfRule type="duplicateValues" dxfId="59" priority="66"/>
  </conditionalFormatting>
  <conditionalFormatting sqref="B84 D84:I84">
    <cfRule type="duplicateValues" dxfId="58" priority="64"/>
  </conditionalFormatting>
  <conditionalFormatting sqref="B84">
    <cfRule type="duplicateValues" dxfId="57" priority="63"/>
  </conditionalFormatting>
  <conditionalFormatting sqref="C84">
    <cfRule type="duplicateValues" dxfId="56" priority="61"/>
    <cfRule type="duplicateValues" dxfId="55" priority="62"/>
  </conditionalFormatting>
  <conditionalFormatting sqref="C84">
    <cfRule type="duplicateValues" dxfId="54" priority="60"/>
  </conditionalFormatting>
  <conditionalFormatting sqref="C84">
    <cfRule type="duplicateValues" dxfId="53" priority="59"/>
  </conditionalFormatting>
  <conditionalFormatting sqref="B85">
    <cfRule type="duplicateValues" dxfId="52" priority="53"/>
    <cfRule type="duplicateValues" dxfId="51" priority="54"/>
  </conditionalFormatting>
  <conditionalFormatting sqref="B85">
    <cfRule type="duplicateValues" dxfId="50" priority="52"/>
  </conditionalFormatting>
  <conditionalFormatting sqref="B85">
    <cfRule type="duplicateValues" dxfId="49" priority="51"/>
  </conditionalFormatting>
  <conditionalFormatting sqref="I85">
    <cfRule type="duplicateValues" dxfId="48" priority="45"/>
    <cfRule type="duplicateValues" dxfId="47" priority="46"/>
  </conditionalFormatting>
  <conditionalFormatting sqref="I85">
    <cfRule type="duplicateValues" dxfId="46" priority="44"/>
  </conditionalFormatting>
  <conditionalFormatting sqref="I85">
    <cfRule type="duplicateValues" dxfId="45" priority="43"/>
  </conditionalFormatting>
  <conditionalFormatting sqref="H85">
    <cfRule type="duplicateValues" dxfId="44" priority="37"/>
    <cfRule type="duplicateValues" dxfId="43" priority="38"/>
  </conditionalFormatting>
  <conditionalFormatting sqref="H85">
    <cfRule type="duplicateValues" dxfId="42" priority="36"/>
  </conditionalFormatting>
  <conditionalFormatting sqref="H85">
    <cfRule type="duplicateValues" dxfId="41" priority="35"/>
  </conditionalFormatting>
  <conditionalFormatting sqref="C85:G85">
    <cfRule type="duplicateValues" dxfId="40" priority="33"/>
    <cfRule type="duplicateValues" dxfId="39" priority="34"/>
  </conditionalFormatting>
  <conditionalFormatting sqref="C85:G85">
    <cfRule type="duplicateValues" dxfId="38" priority="32"/>
  </conditionalFormatting>
  <conditionalFormatting sqref="C85:G85">
    <cfRule type="duplicateValues" dxfId="37" priority="31"/>
  </conditionalFormatting>
  <conditionalFormatting sqref="B79:I80 D81:G82 I81:I82 B81:B83 D83:I83 H80:H82">
    <cfRule type="duplicateValues" dxfId="36" priority="109"/>
    <cfRule type="duplicateValues" dxfId="35" priority="110"/>
  </conditionalFormatting>
  <conditionalFormatting sqref="B79:I80 D81:G82 I81:I82 B81:B83 D83:I83 H80:H82">
    <cfRule type="duplicateValues" dxfId="34" priority="121"/>
  </conditionalFormatting>
  <conditionalFormatting sqref="B86:B90">
    <cfRule type="duplicateValues" dxfId="33" priority="25"/>
    <cfRule type="duplicateValues" dxfId="32" priority="26"/>
  </conditionalFormatting>
  <conditionalFormatting sqref="B86:B90">
    <cfRule type="duplicateValues" dxfId="31" priority="24"/>
  </conditionalFormatting>
  <conditionalFormatting sqref="B86:B90">
    <cfRule type="duplicateValues" dxfId="30" priority="23"/>
  </conditionalFormatting>
  <conditionalFormatting sqref="H86">
    <cfRule type="duplicateValues" dxfId="29" priority="21"/>
    <cfRule type="duplicateValues" dxfId="28" priority="22"/>
  </conditionalFormatting>
  <conditionalFormatting sqref="H86">
    <cfRule type="duplicateValues" dxfId="27" priority="20"/>
  </conditionalFormatting>
  <conditionalFormatting sqref="H86">
    <cfRule type="duplicateValues" dxfId="26" priority="19"/>
  </conditionalFormatting>
  <conditionalFormatting sqref="C86:G86">
    <cfRule type="duplicateValues" dxfId="25" priority="17"/>
    <cfRule type="duplicateValues" dxfId="24" priority="18"/>
  </conditionalFormatting>
  <conditionalFormatting sqref="C86:G86">
    <cfRule type="duplicateValues" dxfId="23" priority="16"/>
  </conditionalFormatting>
  <conditionalFormatting sqref="C86:G86">
    <cfRule type="duplicateValues" dxfId="22" priority="15"/>
  </conditionalFormatting>
  <conditionalFormatting sqref="H87:H90 H70:H78">
    <cfRule type="duplicateValues" dxfId="21" priority="122"/>
    <cfRule type="duplicateValues" dxfId="20" priority="123"/>
  </conditionalFormatting>
  <conditionalFormatting sqref="B92">
    <cfRule type="duplicateValues" dxfId="19" priority="9"/>
    <cfRule type="duplicateValues" dxfId="18" priority="10"/>
  </conditionalFormatting>
  <conditionalFormatting sqref="B92">
    <cfRule type="duplicateValues" dxfId="17" priority="8"/>
  </conditionalFormatting>
  <conditionalFormatting sqref="B92">
    <cfRule type="duplicateValues" dxfId="16" priority="7"/>
  </conditionalFormatting>
  <conditionalFormatting sqref="H94:H95">
    <cfRule type="duplicateValues" dxfId="15" priority="6"/>
  </conditionalFormatting>
  <conditionalFormatting sqref="H103:H108">
    <cfRule type="duplicateValues" dxfId="14" priority="5"/>
  </conditionalFormatting>
  <conditionalFormatting sqref="C118">
    <cfRule type="duplicateValues" dxfId="13" priority="3"/>
    <cfRule type="duplicateValues" dxfId="12" priority="4"/>
  </conditionalFormatting>
  <conditionalFormatting sqref="C118">
    <cfRule type="duplicateValues" dxfId="11" priority="2"/>
  </conditionalFormatting>
  <conditionalFormatting sqref="C118">
    <cfRule type="duplicateValues" dxfId="10" priority="1"/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46" t="s">
        <v>364</v>
      </c>
      <c r="B2" s="146" t="s">
        <v>0</v>
      </c>
      <c r="C2" s="146" t="s">
        <v>1</v>
      </c>
      <c r="D2" s="146" t="s">
        <v>2</v>
      </c>
      <c r="E2" s="146"/>
      <c r="F2" s="146"/>
      <c r="G2" s="146"/>
      <c r="H2" s="57" t="s">
        <v>6</v>
      </c>
      <c r="I2" s="57" t="s">
        <v>366</v>
      </c>
      <c r="J2" s="57" t="s">
        <v>3</v>
      </c>
      <c r="K2" s="57" t="s">
        <v>372</v>
      </c>
      <c r="L2" s="152" t="s">
        <v>373</v>
      </c>
      <c r="M2" s="58" t="s">
        <v>365</v>
      </c>
    </row>
    <row r="3" spans="1:13" ht="15.75">
      <c r="A3" s="146"/>
      <c r="B3" s="146"/>
      <c r="C3" s="146"/>
      <c r="D3" s="57"/>
      <c r="E3" s="57"/>
      <c r="F3" s="57"/>
      <c r="G3" s="57"/>
      <c r="H3" s="57"/>
      <c r="I3" s="57"/>
      <c r="J3" s="57"/>
      <c r="K3" s="61"/>
      <c r="L3" s="153"/>
      <c r="M3" s="57"/>
    </row>
    <row r="4" spans="1:13" ht="18">
      <c r="A4" s="147" t="s">
        <v>354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367</v>
      </c>
      <c r="K4" s="64">
        <v>2.4411</v>
      </c>
      <c r="L4" s="154" t="s">
        <v>374</v>
      </c>
      <c r="M4" s="148" t="s">
        <v>371</v>
      </c>
    </row>
    <row r="5" spans="1:13" ht="18">
      <c r="A5" s="147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367</v>
      </c>
      <c r="K5" s="64">
        <v>1.9466999999999999</v>
      </c>
      <c r="L5" s="155"/>
      <c r="M5" s="148"/>
    </row>
    <row r="6" spans="1:13" ht="18">
      <c r="A6" s="147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367</v>
      </c>
      <c r="K6" s="65">
        <v>3.3887</v>
      </c>
      <c r="L6" s="155"/>
      <c r="M6" s="148"/>
    </row>
    <row r="7" spans="1:13">
      <c r="A7" s="147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367</v>
      </c>
      <c r="K7" s="66">
        <f>(47/6)/3.78</f>
        <v>2.0723104056437389</v>
      </c>
      <c r="L7" s="155"/>
      <c r="M7" s="148"/>
    </row>
    <row r="8" spans="1:13" ht="18">
      <c r="A8" s="147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367</v>
      </c>
      <c r="K8" s="64">
        <v>2.2145000000000001</v>
      </c>
      <c r="L8" s="155"/>
      <c r="M8" s="148"/>
    </row>
    <row r="9" spans="1:13" ht="18">
      <c r="A9" s="147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367</v>
      </c>
      <c r="K9" s="65">
        <v>3.66</v>
      </c>
      <c r="L9" s="156"/>
      <c r="M9" s="148"/>
    </row>
    <row r="10" spans="1:13" ht="18">
      <c r="A10" s="147" t="s">
        <v>355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367</v>
      </c>
      <c r="K10" s="64">
        <v>2.6564999999999999</v>
      </c>
      <c r="L10" s="154" t="s">
        <v>374</v>
      </c>
      <c r="M10" s="149" t="s">
        <v>371</v>
      </c>
    </row>
    <row r="11" spans="1:13" ht="18">
      <c r="A11" s="147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367</v>
      </c>
      <c r="K11" s="64">
        <v>1.59</v>
      </c>
      <c r="L11" s="156"/>
      <c r="M11" s="149"/>
    </row>
    <row r="12" spans="1:13" ht="18">
      <c r="A12" s="147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375</v>
      </c>
      <c r="M12" s="149"/>
    </row>
    <row r="13" spans="1:13" ht="63">
      <c r="A13" s="58" t="s">
        <v>356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375</v>
      </c>
      <c r="M13" s="60" t="s">
        <v>370</v>
      </c>
    </row>
    <row r="14" spans="1:13" ht="47.25">
      <c r="A14" s="58" t="s">
        <v>357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375</v>
      </c>
      <c r="M14" s="60" t="s">
        <v>368</v>
      </c>
    </row>
    <row r="15" spans="1:13" ht="47.25">
      <c r="A15" s="58" t="s">
        <v>358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375</v>
      </c>
      <c r="M15" s="60" t="s">
        <v>368</v>
      </c>
    </row>
    <row r="16" spans="1:13" ht="63">
      <c r="A16" s="59" t="s">
        <v>359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375</v>
      </c>
      <c r="M16" s="60" t="s">
        <v>370</v>
      </c>
    </row>
    <row r="17" spans="1:13" ht="27" customHeight="1">
      <c r="A17" s="147" t="s">
        <v>360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377</v>
      </c>
      <c r="M17" s="148" t="s">
        <v>371</v>
      </c>
    </row>
    <row r="18" spans="1:13" ht="28.5" customHeight="1">
      <c r="A18" s="147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376</v>
      </c>
      <c r="M18" s="148"/>
    </row>
    <row r="19" spans="1:13" ht="18">
      <c r="A19" s="147" t="s">
        <v>362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367</v>
      </c>
      <c r="K19" s="64">
        <v>2.0394000000000001</v>
      </c>
      <c r="L19" s="150" t="s">
        <v>374</v>
      </c>
      <c r="M19" s="148" t="s">
        <v>369</v>
      </c>
    </row>
    <row r="20" spans="1:13" ht="18">
      <c r="A20" s="147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367</v>
      </c>
      <c r="K20" s="64">
        <v>2.4411</v>
      </c>
      <c r="L20" s="157"/>
      <c r="M20" s="148"/>
    </row>
    <row r="21" spans="1:13" ht="18">
      <c r="A21" s="147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367</v>
      </c>
      <c r="K21" s="64">
        <v>1.9466999999999999</v>
      </c>
      <c r="L21" s="157"/>
      <c r="M21" s="148"/>
    </row>
    <row r="22" spans="1:13" ht="18">
      <c r="A22" s="147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367</v>
      </c>
      <c r="K22" s="64">
        <v>3.3887</v>
      </c>
      <c r="L22" s="157"/>
      <c r="M22" s="148"/>
    </row>
    <row r="23" spans="1:13" ht="18">
      <c r="A23" s="147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367</v>
      </c>
      <c r="K23" s="64">
        <v>2.6564999999999999</v>
      </c>
      <c r="L23" s="151"/>
      <c r="M23" s="148"/>
    </row>
    <row r="24" spans="1:13" ht="18">
      <c r="A24" s="147" t="s">
        <v>361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367</v>
      </c>
      <c r="K24" s="64">
        <v>3.3887</v>
      </c>
      <c r="L24" s="150" t="s">
        <v>374</v>
      </c>
      <c r="M24" s="148" t="s">
        <v>369</v>
      </c>
    </row>
    <row r="25" spans="1:13" ht="18">
      <c r="A25" s="147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367</v>
      </c>
      <c r="K25" s="64">
        <v>2.6564999999999999</v>
      </c>
      <c r="L25" s="157"/>
      <c r="M25" s="148"/>
    </row>
    <row r="26" spans="1:13" ht="18">
      <c r="A26" s="147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367</v>
      </c>
      <c r="K26" s="64">
        <v>1.59</v>
      </c>
      <c r="L26" s="157"/>
      <c r="M26" s="148"/>
    </row>
    <row r="27" spans="1:13" ht="18">
      <c r="A27" s="147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367</v>
      </c>
      <c r="K27" s="64">
        <f>(47/6)/3.78</f>
        <v>2.0723104056437389</v>
      </c>
      <c r="L27" s="157"/>
      <c r="M27" s="148"/>
    </row>
    <row r="28" spans="1:13" ht="18">
      <c r="A28" s="147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367</v>
      </c>
      <c r="K28" s="64">
        <v>2.2145000000000001</v>
      </c>
      <c r="L28" s="157"/>
      <c r="M28" s="148"/>
    </row>
    <row r="29" spans="1:13" ht="18">
      <c r="A29" s="147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51"/>
      <c r="M29" s="148"/>
    </row>
    <row r="30" spans="1:13" ht="24" customHeight="1">
      <c r="A30" s="147" t="s">
        <v>363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367</v>
      </c>
      <c r="K30" s="64">
        <v>2.4411</v>
      </c>
      <c r="L30" s="150" t="s">
        <v>374</v>
      </c>
      <c r="M30" s="149" t="s">
        <v>368</v>
      </c>
    </row>
    <row r="31" spans="1:13" ht="21.75" customHeight="1">
      <c r="A31" s="147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367</v>
      </c>
      <c r="K31" s="64">
        <v>1.9466999999999999</v>
      </c>
      <c r="L31" s="151"/>
      <c r="M31" s="149"/>
    </row>
    <row r="32" spans="1:13" ht="18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6"/>
  <sheetViews>
    <sheetView workbookViewId="0">
      <selection activeCell="A6" sqref="A6"/>
    </sheetView>
  </sheetViews>
  <sheetFormatPr defaultRowHeight="15"/>
  <cols>
    <col min="1" max="1" width="16.42578125" customWidth="1"/>
  </cols>
  <sheetData>
    <row r="1" spans="1:2">
      <c r="A1" t="s">
        <v>169</v>
      </c>
      <c r="B1">
        <v>0</v>
      </c>
    </row>
    <row r="2" spans="1:2">
      <c r="A2" t="s">
        <v>171</v>
      </c>
      <c r="B2">
        <v>0</v>
      </c>
    </row>
    <row r="3" spans="1:2">
      <c r="A3" t="s">
        <v>172</v>
      </c>
      <c r="B3">
        <v>0</v>
      </c>
    </row>
    <row r="4" spans="1:2">
      <c r="A4" t="s">
        <v>173</v>
      </c>
      <c r="B4">
        <v>0</v>
      </c>
    </row>
    <row r="5" spans="1:2">
      <c r="A5" t="s">
        <v>625</v>
      </c>
      <c r="B5">
        <v>0</v>
      </c>
    </row>
    <row r="6" spans="1:2">
      <c r="A6" t="s">
        <v>175</v>
      </c>
      <c r="B6">
        <v>0</v>
      </c>
    </row>
    <row r="7" spans="1:2">
      <c r="A7" t="s">
        <v>176</v>
      </c>
      <c r="B7">
        <v>0</v>
      </c>
    </row>
    <row r="8" spans="1:2">
      <c r="A8" t="s">
        <v>177</v>
      </c>
      <c r="B8">
        <v>0</v>
      </c>
    </row>
    <row r="9" spans="1:2">
      <c r="A9" t="s">
        <v>178</v>
      </c>
      <c r="B9">
        <v>0</v>
      </c>
    </row>
    <row r="10" spans="1:2">
      <c r="A10" t="s">
        <v>179</v>
      </c>
      <c r="B10">
        <v>0</v>
      </c>
    </row>
    <row r="11" spans="1:2">
      <c r="A11" t="s">
        <v>180</v>
      </c>
      <c r="B11">
        <v>0</v>
      </c>
    </row>
    <row r="12" spans="1:2">
      <c r="A12" t="s">
        <v>181</v>
      </c>
      <c r="B12">
        <v>0</v>
      </c>
    </row>
    <row r="13" spans="1:2">
      <c r="A13" t="s">
        <v>182</v>
      </c>
      <c r="B13">
        <v>0</v>
      </c>
    </row>
    <row r="14" spans="1:2">
      <c r="A14" t="s">
        <v>183</v>
      </c>
      <c r="B14">
        <v>0</v>
      </c>
    </row>
    <row r="15" spans="1:2">
      <c r="A15" t="s">
        <v>184</v>
      </c>
      <c r="B15">
        <v>0</v>
      </c>
    </row>
    <row r="16" spans="1:2">
      <c r="A16" t="s">
        <v>185</v>
      </c>
      <c r="B16">
        <v>0</v>
      </c>
    </row>
    <row r="17" spans="1:2">
      <c r="A17" t="s">
        <v>186</v>
      </c>
      <c r="B17">
        <v>0</v>
      </c>
    </row>
    <row r="18" spans="1:2">
      <c r="A18">
        <v>26560163</v>
      </c>
      <c r="B18">
        <v>0</v>
      </c>
    </row>
    <row r="19" spans="1:2">
      <c r="A19">
        <v>691782</v>
      </c>
      <c r="B19">
        <v>1.100000000000001</v>
      </c>
    </row>
    <row r="20" spans="1:2">
      <c r="A20">
        <v>692250</v>
      </c>
      <c r="B20">
        <v>0</v>
      </c>
    </row>
    <row r="21" spans="1:2">
      <c r="A21">
        <v>692332</v>
      </c>
      <c r="B21">
        <v>0.18000000000000682</v>
      </c>
    </row>
    <row r="22" spans="1:2">
      <c r="A22">
        <v>692334</v>
      </c>
      <c r="B22">
        <v>0</v>
      </c>
    </row>
    <row r="23" spans="1:2">
      <c r="A23">
        <v>692178</v>
      </c>
      <c r="B23">
        <v>0</v>
      </c>
    </row>
    <row r="24" spans="1:2">
      <c r="A24">
        <v>692027</v>
      </c>
      <c r="B24">
        <v>14.780000000000001</v>
      </c>
    </row>
    <row r="25" spans="1:2">
      <c r="A25">
        <v>692026</v>
      </c>
      <c r="B25">
        <v>4.0000000000000036</v>
      </c>
    </row>
    <row r="26" spans="1:2">
      <c r="A26">
        <v>692079</v>
      </c>
      <c r="B26">
        <v>3</v>
      </c>
    </row>
    <row r="27" spans="1:2">
      <c r="A27">
        <v>692077</v>
      </c>
      <c r="B27">
        <v>0</v>
      </c>
    </row>
    <row r="28" spans="1:2">
      <c r="A28">
        <v>692030</v>
      </c>
      <c r="B28">
        <v>0.28000000000000114</v>
      </c>
    </row>
    <row r="29" spans="1:2">
      <c r="A29">
        <v>686033</v>
      </c>
      <c r="B29">
        <v>21</v>
      </c>
    </row>
    <row r="30" spans="1:2">
      <c r="A30">
        <v>686032</v>
      </c>
      <c r="B30">
        <v>276</v>
      </c>
    </row>
    <row r="31" spans="1:2">
      <c r="A31">
        <v>690814</v>
      </c>
      <c r="B31">
        <v>0</v>
      </c>
    </row>
    <row r="32" spans="1:2">
      <c r="A32">
        <v>691848</v>
      </c>
      <c r="B32">
        <v>11</v>
      </c>
    </row>
    <row r="33" spans="1:2">
      <c r="A33">
        <v>691911</v>
      </c>
      <c r="B33">
        <v>0</v>
      </c>
    </row>
    <row r="34" spans="1:2">
      <c r="A34">
        <v>691781</v>
      </c>
      <c r="B34">
        <v>0</v>
      </c>
    </row>
    <row r="35" spans="1:2">
      <c r="A35" t="s">
        <v>187</v>
      </c>
      <c r="B35">
        <v>95.050000000000182</v>
      </c>
    </row>
    <row r="36" spans="1:2">
      <c r="A36" t="s">
        <v>188</v>
      </c>
      <c r="B36">
        <v>0</v>
      </c>
    </row>
    <row r="37" spans="1:2">
      <c r="A37" t="s">
        <v>189</v>
      </c>
      <c r="B37">
        <v>0</v>
      </c>
    </row>
    <row r="38" spans="1:2">
      <c r="A38" t="s">
        <v>190</v>
      </c>
      <c r="B38">
        <v>1.4807700000000068</v>
      </c>
    </row>
    <row r="39" spans="1:2">
      <c r="A39" t="s">
        <v>191</v>
      </c>
      <c r="B39">
        <v>15</v>
      </c>
    </row>
    <row r="40" spans="1:2">
      <c r="A40" t="s">
        <v>192</v>
      </c>
      <c r="B40">
        <v>2</v>
      </c>
    </row>
    <row r="41" spans="1:2">
      <c r="A41" t="s">
        <v>193</v>
      </c>
      <c r="B41">
        <v>1.8000000000000114</v>
      </c>
    </row>
    <row r="42" spans="1:2">
      <c r="A42" t="s">
        <v>194</v>
      </c>
      <c r="B42">
        <v>0</v>
      </c>
    </row>
    <row r="43" spans="1:2">
      <c r="A43" t="s">
        <v>195</v>
      </c>
      <c r="B43">
        <v>1.0250000000000909</v>
      </c>
    </row>
    <row r="44" spans="1:2">
      <c r="A44" t="s">
        <v>196</v>
      </c>
      <c r="B44">
        <v>6.8000000000000114</v>
      </c>
    </row>
    <row r="45" spans="1:2">
      <c r="A45" t="s">
        <v>197</v>
      </c>
      <c r="B45">
        <v>2</v>
      </c>
    </row>
    <row r="46" spans="1:2">
      <c r="A46" t="s">
        <v>198</v>
      </c>
      <c r="B46">
        <v>1.7777777777777715</v>
      </c>
    </row>
    <row r="47" spans="1:2">
      <c r="A47">
        <v>692070</v>
      </c>
      <c r="B47">
        <v>0</v>
      </c>
    </row>
    <row r="48" spans="1:2">
      <c r="A48">
        <v>692053</v>
      </c>
      <c r="B48">
        <v>3.8888888888322981E-2</v>
      </c>
    </row>
    <row r="49" spans="1:2">
      <c r="A49">
        <v>692052</v>
      </c>
      <c r="B49">
        <v>0</v>
      </c>
    </row>
    <row r="50" spans="1:2">
      <c r="A50">
        <v>692172</v>
      </c>
      <c r="B50">
        <v>0</v>
      </c>
    </row>
    <row r="51" spans="1:2">
      <c r="A51">
        <v>692090</v>
      </c>
      <c r="B51">
        <v>0</v>
      </c>
    </row>
    <row r="52" spans="1:2">
      <c r="A52">
        <v>692335</v>
      </c>
      <c r="B52">
        <v>2.7800000000000011</v>
      </c>
    </row>
    <row r="53" spans="1:2">
      <c r="A53" t="s">
        <v>199</v>
      </c>
      <c r="B53">
        <v>0</v>
      </c>
    </row>
    <row r="54" spans="1:2">
      <c r="A54" t="s">
        <v>200</v>
      </c>
      <c r="B54">
        <v>20</v>
      </c>
    </row>
    <row r="55" spans="1:2">
      <c r="A55" t="s">
        <v>201</v>
      </c>
      <c r="B55">
        <v>57</v>
      </c>
    </row>
    <row r="56" spans="1:2">
      <c r="A56">
        <v>685850</v>
      </c>
      <c r="B56">
        <v>0</v>
      </c>
    </row>
    <row r="57" spans="1:2">
      <c r="A57">
        <v>692054</v>
      </c>
      <c r="B57">
        <v>0</v>
      </c>
    </row>
    <row r="58" spans="1:2">
      <c r="A58">
        <v>692082</v>
      </c>
      <c r="B58">
        <v>0</v>
      </c>
    </row>
    <row r="59" spans="1:2">
      <c r="A59">
        <v>724027</v>
      </c>
      <c r="B59">
        <v>0</v>
      </c>
    </row>
    <row r="60" spans="1:2">
      <c r="A60">
        <v>793317</v>
      </c>
      <c r="B60">
        <v>38</v>
      </c>
    </row>
    <row r="61" spans="1:2">
      <c r="A61">
        <v>692247</v>
      </c>
      <c r="B61">
        <v>64</v>
      </c>
    </row>
    <row r="62" spans="1:2">
      <c r="A62">
        <v>732728</v>
      </c>
      <c r="B62">
        <v>0</v>
      </c>
    </row>
    <row r="63" spans="1:2">
      <c r="A63">
        <v>692249</v>
      </c>
      <c r="B63">
        <v>6</v>
      </c>
    </row>
    <row r="64" spans="1:2">
      <c r="A64">
        <v>772588</v>
      </c>
      <c r="B64">
        <v>0</v>
      </c>
    </row>
    <row r="65" spans="1:2">
      <c r="A65">
        <v>724026</v>
      </c>
      <c r="B65">
        <v>0</v>
      </c>
    </row>
    <row r="66" spans="1:2">
      <c r="A66">
        <v>691970</v>
      </c>
      <c r="B66">
        <v>8</v>
      </c>
    </row>
    <row r="67" spans="1:2">
      <c r="A67">
        <v>691870</v>
      </c>
      <c r="B67">
        <v>214</v>
      </c>
    </row>
    <row r="68" spans="1:2">
      <c r="A68">
        <v>692051</v>
      </c>
      <c r="B68">
        <v>237</v>
      </c>
    </row>
    <row r="69" spans="1:2">
      <c r="A69">
        <v>692128</v>
      </c>
      <c r="B69">
        <v>23</v>
      </c>
    </row>
    <row r="70" spans="1:2">
      <c r="A70">
        <v>692171</v>
      </c>
      <c r="B70">
        <v>36</v>
      </c>
    </row>
    <row r="71" spans="1:2">
      <c r="A71">
        <v>789360</v>
      </c>
      <c r="B71">
        <v>618</v>
      </c>
    </row>
    <row r="72" spans="1:2">
      <c r="A72">
        <v>692180</v>
      </c>
      <c r="B72">
        <v>0</v>
      </c>
    </row>
    <row r="73" spans="1:2">
      <c r="A73">
        <v>686031</v>
      </c>
      <c r="B73">
        <v>119</v>
      </c>
    </row>
    <row r="74" spans="1:2">
      <c r="A74">
        <v>692173</v>
      </c>
      <c r="B74">
        <v>0</v>
      </c>
    </row>
    <row r="75" spans="1:2">
      <c r="A75">
        <v>691918</v>
      </c>
      <c r="B75">
        <v>20</v>
      </c>
    </row>
    <row r="76" spans="1:2">
      <c r="A76">
        <v>807562</v>
      </c>
      <c r="B76">
        <v>0</v>
      </c>
    </row>
    <row r="77" spans="1:2">
      <c r="A77">
        <v>692085</v>
      </c>
      <c r="B77">
        <v>2</v>
      </c>
    </row>
    <row r="78" spans="1:2">
      <c r="A78">
        <v>692100</v>
      </c>
      <c r="B78">
        <v>9</v>
      </c>
    </row>
    <row r="79" spans="1:2">
      <c r="A79">
        <v>692099</v>
      </c>
      <c r="B79">
        <v>0</v>
      </c>
    </row>
    <row r="80" spans="1:2">
      <c r="A80">
        <v>692333</v>
      </c>
      <c r="B80">
        <v>34</v>
      </c>
    </row>
    <row r="81" spans="1:2">
      <c r="A81" t="s">
        <v>202</v>
      </c>
      <c r="B81">
        <v>0</v>
      </c>
    </row>
    <row r="82" spans="1:2">
      <c r="A82">
        <v>691849</v>
      </c>
      <c r="B82">
        <v>1</v>
      </c>
    </row>
    <row r="83" spans="1:2">
      <c r="A83" t="s">
        <v>53</v>
      </c>
      <c r="B83">
        <v>9</v>
      </c>
    </row>
    <row r="84" spans="1:2">
      <c r="A84">
        <v>841092</v>
      </c>
      <c r="B84">
        <v>0</v>
      </c>
    </row>
    <row r="85" spans="1:2">
      <c r="A85" t="s">
        <v>203</v>
      </c>
      <c r="B85">
        <v>0</v>
      </c>
    </row>
    <row r="86" spans="1:2">
      <c r="A86">
        <v>804723</v>
      </c>
      <c r="B86">
        <v>-7.5772721430666934E-15</v>
      </c>
    </row>
    <row r="87" spans="1:2">
      <c r="A87">
        <v>795005</v>
      </c>
      <c r="B87">
        <v>1</v>
      </c>
    </row>
    <row r="88" spans="1:2">
      <c r="A88">
        <v>841078</v>
      </c>
      <c r="B88">
        <v>0</v>
      </c>
    </row>
    <row r="89" spans="1:2">
      <c r="A89" t="s">
        <v>41</v>
      </c>
      <c r="B89">
        <v>17</v>
      </c>
    </row>
    <row r="90" spans="1:2">
      <c r="A90">
        <v>844573</v>
      </c>
      <c r="B90">
        <v>1176</v>
      </c>
    </row>
    <row r="91" spans="1:2">
      <c r="A91" t="s">
        <v>204</v>
      </c>
      <c r="B91">
        <v>0</v>
      </c>
    </row>
    <row r="92" spans="1:2">
      <c r="A92" t="s">
        <v>205</v>
      </c>
      <c r="B92">
        <v>0</v>
      </c>
    </row>
    <row r="93" spans="1:2">
      <c r="A93" t="s">
        <v>206</v>
      </c>
      <c r="B93">
        <v>0</v>
      </c>
    </row>
    <row r="94" spans="1:2">
      <c r="A94" t="s">
        <v>207</v>
      </c>
      <c r="B94">
        <v>0</v>
      </c>
    </row>
    <row r="95" spans="1:2">
      <c r="A95" t="s">
        <v>208</v>
      </c>
      <c r="B95">
        <v>0</v>
      </c>
    </row>
    <row r="96" spans="1:2">
      <c r="A96" t="s">
        <v>209</v>
      </c>
      <c r="B96">
        <v>0</v>
      </c>
    </row>
    <row r="97" spans="1:2">
      <c r="A97" t="s">
        <v>210</v>
      </c>
      <c r="B97">
        <v>0</v>
      </c>
    </row>
    <row r="98" spans="1:2">
      <c r="A98" t="s">
        <v>211</v>
      </c>
      <c r="B98">
        <v>0</v>
      </c>
    </row>
    <row r="99" spans="1:2">
      <c r="A99" t="s">
        <v>212</v>
      </c>
      <c r="B99">
        <v>0</v>
      </c>
    </row>
    <row r="100" spans="1:2">
      <c r="A100" t="s">
        <v>213</v>
      </c>
      <c r="B100">
        <v>0</v>
      </c>
    </row>
    <row r="101" spans="1:2">
      <c r="A101" t="s">
        <v>214</v>
      </c>
      <c r="B101">
        <v>0</v>
      </c>
    </row>
    <row r="102" spans="1:2">
      <c r="A102" t="s">
        <v>170</v>
      </c>
      <c r="B102">
        <v>86</v>
      </c>
    </row>
    <row r="103" spans="1:2">
      <c r="A103" t="s">
        <v>215</v>
      </c>
      <c r="B103">
        <v>2</v>
      </c>
    </row>
    <row r="104" spans="1:2">
      <c r="A104" t="s">
        <v>216</v>
      </c>
      <c r="B104">
        <v>15</v>
      </c>
    </row>
    <row r="105" spans="1:2">
      <c r="A105" t="s">
        <v>217</v>
      </c>
      <c r="B105">
        <v>3</v>
      </c>
    </row>
    <row r="106" spans="1:2">
      <c r="A106" t="s">
        <v>218</v>
      </c>
      <c r="B106">
        <v>38</v>
      </c>
    </row>
    <row r="107" spans="1:2">
      <c r="A107" t="s">
        <v>219</v>
      </c>
      <c r="B107">
        <v>1</v>
      </c>
    </row>
    <row r="108" spans="1:2">
      <c r="A108" t="s">
        <v>220</v>
      </c>
      <c r="B108">
        <v>1</v>
      </c>
    </row>
    <row r="109" spans="1:2">
      <c r="A109" t="s">
        <v>221</v>
      </c>
      <c r="B109">
        <v>3</v>
      </c>
    </row>
    <row r="110" spans="1:2">
      <c r="A110">
        <v>2200052</v>
      </c>
      <c r="B110">
        <v>2</v>
      </c>
    </row>
    <row r="111" spans="1:2">
      <c r="A111">
        <v>2200053</v>
      </c>
      <c r="B111">
        <v>1</v>
      </c>
    </row>
    <row r="112" spans="1:2">
      <c r="A112">
        <v>2200055</v>
      </c>
      <c r="B112">
        <v>1</v>
      </c>
    </row>
    <row r="113" spans="1:2">
      <c r="A113" t="s">
        <v>222</v>
      </c>
      <c r="B113">
        <v>7</v>
      </c>
    </row>
    <row r="114" spans="1:2">
      <c r="A114" t="s">
        <v>223</v>
      </c>
      <c r="B114">
        <v>1</v>
      </c>
    </row>
    <row r="115" spans="1:2">
      <c r="A115" t="s">
        <v>224</v>
      </c>
      <c r="B115">
        <v>3</v>
      </c>
    </row>
    <row r="116" spans="1:2">
      <c r="A116" t="s">
        <v>225</v>
      </c>
      <c r="B116">
        <v>5</v>
      </c>
    </row>
    <row r="117" spans="1:2">
      <c r="A117" t="s">
        <v>226</v>
      </c>
      <c r="B117">
        <v>5</v>
      </c>
    </row>
    <row r="118" spans="1:2">
      <c r="A118" t="s">
        <v>228</v>
      </c>
      <c r="B118">
        <v>1</v>
      </c>
    </row>
    <row r="119" spans="1:2">
      <c r="A119" t="s">
        <v>229</v>
      </c>
      <c r="B119">
        <v>0</v>
      </c>
    </row>
    <row r="120" spans="1:2">
      <c r="A120" t="s">
        <v>230</v>
      </c>
      <c r="B120">
        <v>0</v>
      </c>
    </row>
    <row r="121" spans="1:2">
      <c r="A121" t="s">
        <v>231</v>
      </c>
      <c r="B121">
        <v>0</v>
      </c>
    </row>
    <row r="122" spans="1:2">
      <c r="A122" t="s">
        <v>232</v>
      </c>
      <c r="B122">
        <v>9</v>
      </c>
    </row>
    <row r="123" spans="1:2">
      <c r="A123" t="s">
        <v>233</v>
      </c>
      <c r="B123">
        <v>14</v>
      </c>
    </row>
    <row r="124" spans="1:2">
      <c r="A124" t="s">
        <v>234</v>
      </c>
      <c r="B124">
        <v>7</v>
      </c>
    </row>
    <row r="125" spans="1:2">
      <c r="A125" t="s">
        <v>235</v>
      </c>
      <c r="B125">
        <v>3</v>
      </c>
    </row>
    <row r="126" spans="1:2">
      <c r="A126" t="s">
        <v>236</v>
      </c>
      <c r="B126">
        <v>2</v>
      </c>
    </row>
    <row r="127" spans="1:2">
      <c r="A127" t="s">
        <v>340</v>
      </c>
      <c r="B127">
        <v>3</v>
      </c>
    </row>
    <row r="128" spans="1:2">
      <c r="A128" t="s">
        <v>237</v>
      </c>
      <c r="B128">
        <v>27</v>
      </c>
    </row>
    <row r="129" spans="1:2">
      <c r="A129" t="s">
        <v>238</v>
      </c>
      <c r="B129">
        <v>23</v>
      </c>
    </row>
    <row r="130" spans="1:2">
      <c r="A130" t="s">
        <v>239</v>
      </c>
      <c r="B130">
        <v>2</v>
      </c>
    </row>
    <row r="131" spans="1:2">
      <c r="A131" t="s">
        <v>240</v>
      </c>
      <c r="B131">
        <v>0</v>
      </c>
    </row>
    <row r="132" spans="1:2">
      <c r="A132" t="s">
        <v>241</v>
      </c>
      <c r="B132">
        <v>1</v>
      </c>
    </row>
    <row r="133" spans="1:2">
      <c r="A133" t="s">
        <v>242</v>
      </c>
      <c r="B133">
        <v>0</v>
      </c>
    </row>
    <row r="134" spans="1:2">
      <c r="A134" t="s">
        <v>243</v>
      </c>
      <c r="B134">
        <v>0</v>
      </c>
    </row>
    <row r="135" spans="1:2">
      <c r="A135" t="s">
        <v>244</v>
      </c>
      <c r="B135">
        <v>2</v>
      </c>
    </row>
    <row r="136" spans="1:2">
      <c r="A136" t="s">
        <v>245</v>
      </c>
      <c r="B136">
        <v>2</v>
      </c>
    </row>
    <row r="137" spans="1:2">
      <c r="A137" t="s">
        <v>246</v>
      </c>
      <c r="B137">
        <v>0</v>
      </c>
    </row>
    <row r="138" spans="1:2">
      <c r="A138" t="s">
        <v>247</v>
      </c>
      <c r="B138">
        <v>0</v>
      </c>
    </row>
    <row r="139" spans="1:2">
      <c r="A139" t="s">
        <v>248</v>
      </c>
      <c r="B139">
        <v>3</v>
      </c>
    </row>
    <row r="140" spans="1:2">
      <c r="A140" t="s">
        <v>249</v>
      </c>
      <c r="B140">
        <v>0</v>
      </c>
    </row>
    <row r="141" spans="1:2">
      <c r="A141" t="s">
        <v>250</v>
      </c>
      <c r="B141">
        <v>0</v>
      </c>
    </row>
    <row r="142" spans="1:2">
      <c r="A142" t="s">
        <v>251</v>
      </c>
      <c r="B142">
        <v>4</v>
      </c>
    </row>
    <row r="143" spans="1:2">
      <c r="A143" t="s">
        <v>252</v>
      </c>
      <c r="B143">
        <v>2</v>
      </c>
    </row>
    <row r="144" spans="1:2">
      <c r="A144" t="s">
        <v>253</v>
      </c>
      <c r="B144">
        <v>1</v>
      </c>
    </row>
    <row r="145" spans="1:2">
      <c r="A145" t="s">
        <v>254</v>
      </c>
      <c r="B145">
        <v>0</v>
      </c>
    </row>
    <row r="146" spans="1:2">
      <c r="A146" t="s">
        <v>255</v>
      </c>
      <c r="B146">
        <v>8</v>
      </c>
    </row>
    <row r="147" spans="1:2">
      <c r="A147" t="s">
        <v>256</v>
      </c>
      <c r="B147">
        <v>5</v>
      </c>
    </row>
    <row r="148" spans="1:2">
      <c r="A148" t="s">
        <v>257</v>
      </c>
      <c r="B148">
        <v>10</v>
      </c>
    </row>
    <row r="149" spans="1:2">
      <c r="A149" t="s">
        <v>258</v>
      </c>
      <c r="B149">
        <v>0</v>
      </c>
    </row>
    <row r="150" spans="1:2">
      <c r="A150" t="s">
        <v>259</v>
      </c>
      <c r="B150">
        <v>1</v>
      </c>
    </row>
    <row r="151" spans="1:2">
      <c r="A151" t="s">
        <v>227</v>
      </c>
      <c r="B151">
        <v>0</v>
      </c>
    </row>
    <row r="152" spans="1:2">
      <c r="A152" t="s">
        <v>260</v>
      </c>
      <c r="B152">
        <v>2</v>
      </c>
    </row>
    <row r="153" spans="1:2">
      <c r="A153" t="s">
        <v>261</v>
      </c>
      <c r="B153">
        <v>7</v>
      </c>
    </row>
    <row r="154" spans="1:2">
      <c r="A154" t="s">
        <v>262</v>
      </c>
      <c r="B154">
        <v>0</v>
      </c>
    </row>
    <row r="155" spans="1:2">
      <c r="A155" t="s">
        <v>263</v>
      </c>
      <c r="B155">
        <v>0</v>
      </c>
    </row>
    <row r="156" spans="1:2">
      <c r="A156" t="s">
        <v>264</v>
      </c>
      <c r="B156">
        <v>2</v>
      </c>
    </row>
    <row r="157" spans="1:2">
      <c r="A157" t="s">
        <v>265</v>
      </c>
      <c r="B157">
        <v>5</v>
      </c>
    </row>
    <row r="158" spans="1:2">
      <c r="A158" t="s">
        <v>266</v>
      </c>
      <c r="B158">
        <v>1</v>
      </c>
    </row>
    <row r="159" spans="1:2">
      <c r="A159" t="s">
        <v>267</v>
      </c>
      <c r="B159">
        <v>12</v>
      </c>
    </row>
    <row r="160" spans="1:2">
      <c r="A160" t="s">
        <v>268</v>
      </c>
      <c r="B160">
        <v>11</v>
      </c>
    </row>
    <row r="161" spans="1:2">
      <c r="A161" t="s">
        <v>269</v>
      </c>
      <c r="B161">
        <v>4</v>
      </c>
    </row>
    <row r="162" spans="1:2">
      <c r="A162" t="s">
        <v>270</v>
      </c>
      <c r="B162">
        <v>1</v>
      </c>
    </row>
    <row r="163" spans="1:2">
      <c r="A163" t="s">
        <v>271</v>
      </c>
      <c r="B163">
        <v>36</v>
      </c>
    </row>
    <row r="164" spans="1:2">
      <c r="A164" t="s">
        <v>470</v>
      </c>
      <c r="B164">
        <v>8</v>
      </c>
    </row>
    <row r="165" spans="1:2">
      <c r="A165" t="s">
        <v>316</v>
      </c>
      <c r="B165">
        <v>1</v>
      </c>
    </row>
    <row r="166" spans="1:2">
      <c r="A166" t="s">
        <v>272</v>
      </c>
      <c r="B166">
        <v>1</v>
      </c>
    </row>
    <row r="167" spans="1:2">
      <c r="A167" t="s">
        <v>273</v>
      </c>
      <c r="B167">
        <v>1</v>
      </c>
    </row>
    <row r="168" spans="1:2">
      <c r="A168" t="s">
        <v>274</v>
      </c>
      <c r="B168">
        <v>1</v>
      </c>
    </row>
    <row r="169" spans="1:2">
      <c r="A169" t="s">
        <v>275</v>
      </c>
      <c r="B169">
        <v>1</v>
      </c>
    </row>
    <row r="170" spans="1:2">
      <c r="A170" t="s">
        <v>276</v>
      </c>
      <c r="B170">
        <v>15</v>
      </c>
    </row>
    <row r="171" spans="1:2">
      <c r="A171" t="s">
        <v>277</v>
      </c>
      <c r="B171">
        <v>13</v>
      </c>
    </row>
    <row r="172" spans="1:2">
      <c r="A172" t="s">
        <v>278</v>
      </c>
      <c r="B172">
        <v>6</v>
      </c>
    </row>
    <row r="173" spans="1:2">
      <c r="A173" t="s">
        <v>279</v>
      </c>
      <c r="B173">
        <v>2</v>
      </c>
    </row>
    <row r="174" spans="1:2">
      <c r="A174" t="s">
        <v>280</v>
      </c>
      <c r="B174">
        <v>2</v>
      </c>
    </row>
    <row r="175" spans="1:2">
      <c r="A175" t="s">
        <v>281</v>
      </c>
      <c r="B175">
        <v>7</v>
      </c>
    </row>
    <row r="176" spans="1:2">
      <c r="A176" t="s">
        <v>282</v>
      </c>
      <c r="B176">
        <v>11</v>
      </c>
    </row>
    <row r="177" spans="1:2">
      <c r="A177" t="s">
        <v>283</v>
      </c>
      <c r="B177">
        <v>2</v>
      </c>
    </row>
    <row r="178" spans="1:2">
      <c r="A178" t="s">
        <v>284</v>
      </c>
      <c r="B178">
        <v>2</v>
      </c>
    </row>
    <row r="179" spans="1:2">
      <c r="A179" t="s">
        <v>285</v>
      </c>
      <c r="B179">
        <v>0</v>
      </c>
    </row>
    <row r="180" spans="1:2">
      <c r="A180" t="s">
        <v>286</v>
      </c>
      <c r="B180">
        <v>0</v>
      </c>
    </row>
    <row r="181" spans="1:2">
      <c r="A181" t="s">
        <v>287</v>
      </c>
      <c r="B181">
        <v>0</v>
      </c>
    </row>
    <row r="182" spans="1:2">
      <c r="A182" t="s">
        <v>288</v>
      </c>
      <c r="B182">
        <v>0</v>
      </c>
    </row>
    <row r="183" spans="1:2">
      <c r="A183" t="s">
        <v>289</v>
      </c>
      <c r="B183">
        <v>2</v>
      </c>
    </row>
    <row r="184" spans="1:2">
      <c r="A184" t="s">
        <v>290</v>
      </c>
      <c r="B184">
        <v>2</v>
      </c>
    </row>
    <row r="185" spans="1:2">
      <c r="A185" t="s">
        <v>291</v>
      </c>
      <c r="B185">
        <v>0</v>
      </c>
    </row>
    <row r="186" spans="1:2">
      <c r="A186" t="s">
        <v>292</v>
      </c>
      <c r="B186">
        <v>2</v>
      </c>
    </row>
    <row r="187" spans="1:2">
      <c r="A187" t="s">
        <v>293</v>
      </c>
      <c r="B187">
        <v>2</v>
      </c>
    </row>
    <row r="188" spans="1:2">
      <c r="A188" t="s">
        <v>294</v>
      </c>
      <c r="B188">
        <v>2</v>
      </c>
    </row>
    <row r="189" spans="1:2">
      <c r="A189" t="s">
        <v>295</v>
      </c>
      <c r="B189">
        <v>0</v>
      </c>
    </row>
    <row r="190" spans="1:2">
      <c r="A190" t="s">
        <v>296</v>
      </c>
      <c r="B190">
        <v>2</v>
      </c>
    </row>
    <row r="191" spans="1:2">
      <c r="A191" t="s">
        <v>297</v>
      </c>
      <c r="B191">
        <v>0</v>
      </c>
    </row>
    <row r="192" spans="1:2">
      <c r="A192" t="s">
        <v>298</v>
      </c>
      <c r="B192">
        <v>0</v>
      </c>
    </row>
    <row r="193" spans="1:2">
      <c r="A193" t="s">
        <v>299</v>
      </c>
      <c r="B193">
        <v>2</v>
      </c>
    </row>
    <row r="194" spans="1:2">
      <c r="A194" t="s">
        <v>300</v>
      </c>
      <c r="B194">
        <v>21</v>
      </c>
    </row>
    <row r="195" spans="1:2">
      <c r="A195" t="s">
        <v>301</v>
      </c>
      <c r="B195">
        <v>0</v>
      </c>
    </row>
    <row r="196" spans="1:2">
      <c r="A196" t="s">
        <v>302</v>
      </c>
      <c r="B196">
        <v>952</v>
      </c>
    </row>
    <row r="197" spans="1:2">
      <c r="A197" t="s">
        <v>303</v>
      </c>
      <c r="B197">
        <v>0</v>
      </c>
    </row>
    <row r="198" spans="1:2">
      <c r="A198" t="s">
        <v>304</v>
      </c>
      <c r="B198">
        <v>2</v>
      </c>
    </row>
    <row r="199" spans="1:2">
      <c r="A199" t="s">
        <v>305</v>
      </c>
      <c r="B199">
        <v>0</v>
      </c>
    </row>
    <row r="200" spans="1:2">
      <c r="A200">
        <v>9912</v>
      </c>
      <c r="B200">
        <v>0</v>
      </c>
    </row>
    <row r="201" spans="1:2">
      <c r="A201">
        <v>9902</v>
      </c>
      <c r="B201">
        <v>5</v>
      </c>
    </row>
    <row r="202" spans="1:2">
      <c r="A202">
        <v>9909</v>
      </c>
      <c r="B202">
        <v>3</v>
      </c>
    </row>
    <row r="203" spans="1:2">
      <c r="A203" t="s">
        <v>306</v>
      </c>
      <c r="B203">
        <v>0</v>
      </c>
    </row>
    <row r="204" spans="1:2">
      <c r="A204">
        <v>4483</v>
      </c>
      <c r="B204">
        <v>2</v>
      </c>
    </row>
    <row r="205" spans="1:2">
      <c r="A205">
        <v>3903</v>
      </c>
      <c r="B205">
        <v>10</v>
      </c>
    </row>
    <row r="206" spans="1:2">
      <c r="A206">
        <v>3832</v>
      </c>
      <c r="B206">
        <v>44</v>
      </c>
    </row>
    <row r="207" spans="1:2">
      <c r="A207">
        <v>3602</v>
      </c>
      <c r="B207">
        <v>20</v>
      </c>
    </row>
    <row r="208" spans="1:2">
      <c r="A208">
        <v>3713</v>
      </c>
      <c r="B208">
        <v>3</v>
      </c>
    </row>
    <row r="209" spans="1:2">
      <c r="A209">
        <v>8201</v>
      </c>
      <c r="B209">
        <v>137</v>
      </c>
    </row>
    <row r="210" spans="1:2">
      <c r="A210">
        <v>4464</v>
      </c>
      <c r="B210">
        <v>34</v>
      </c>
    </row>
    <row r="211" spans="1:2">
      <c r="A211">
        <v>4496</v>
      </c>
      <c r="B211">
        <v>10</v>
      </c>
    </row>
    <row r="212" spans="1:2">
      <c r="A212" t="s">
        <v>309</v>
      </c>
      <c r="B212">
        <v>1</v>
      </c>
    </row>
    <row r="213" spans="1:2">
      <c r="A213" t="s">
        <v>68</v>
      </c>
      <c r="B213">
        <v>0</v>
      </c>
    </row>
    <row r="214" spans="1:2">
      <c r="A214" t="s">
        <v>71</v>
      </c>
      <c r="B214">
        <v>1531</v>
      </c>
    </row>
    <row r="215" spans="1:2">
      <c r="A215">
        <v>804751</v>
      </c>
      <c r="B215">
        <v>102</v>
      </c>
    </row>
    <row r="216" spans="1:2">
      <c r="A216" t="s">
        <v>76</v>
      </c>
      <c r="B216">
        <v>0</v>
      </c>
    </row>
    <row r="217" spans="1:2">
      <c r="A217" t="s">
        <v>308</v>
      </c>
      <c r="B217">
        <v>1</v>
      </c>
    </row>
    <row r="218" spans="1:2">
      <c r="A218" t="s">
        <v>313</v>
      </c>
      <c r="B218">
        <v>5</v>
      </c>
    </row>
    <row r="219" spans="1:2">
      <c r="A219" t="s">
        <v>90</v>
      </c>
      <c r="B219">
        <v>0</v>
      </c>
    </row>
    <row r="220" spans="1:2">
      <c r="A220" t="s">
        <v>310</v>
      </c>
      <c r="B220">
        <v>58</v>
      </c>
    </row>
    <row r="221" spans="1:2">
      <c r="A221" t="s">
        <v>311</v>
      </c>
      <c r="B221">
        <v>58</v>
      </c>
    </row>
    <row r="222" spans="1:2">
      <c r="A222" t="s">
        <v>312</v>
      </c>
      <c r="B222">
        <v>0</v>
      </c>
    </row>
    <row r="223" spans="1:2">
      <c r="A223" t="s">
        <v>317</v>
      </c>
      <c r="B223">
        <v>2</v>
      </c>
    </row>
    <row r="224" spans="1:2">
      <c r="A224" t="s">
        <v>307</v>
      </c>
      <c r="B224">
        <v>0</v>
      </c>
    </row>
    <row r="225" spans="1:2">
      <c r="A225" t="s">
        <v>318</v>
      </c>
      <c r="B225">
        <v>0</v>
      </c>
    </row>
    <row r="226" spans="1:2">
      <c r="A226" t="s">
        <v>319</v>
      </c>
      <c r="B226">
        <v>0</v>
      </c>
    </row>
    <row r="227" spans="1:2">
      <c r="A227" t="s">
        <v>320</v>
      </c>
      <c r="B227">
        <v>3</v>
      </c>
    </row>
    <row r="228" spans="1:2">
      <c r="A228" t="s">
        <v>321</v>
      </c>
      <c r="B228">
        <v>0</v>
      </c>
    </row>
    <row r="229" spans="1:2">
      <c r="A229" t="s">
        <v>314</v>
      </c>
      <c r="B229">
        <v>2</v>
      </c>
    </row>
    <row r="230" spans="1:2">
      <c r="A230">
        <v>5301000287</v>
      </c>
      <c r="B230">
        <v>1</v>
      </c>
    </row>
    <row r="231" spans="1:2">
      <c r="A231" t="s">
        <v>322</v>
      </c>
      <c r="B231">
        <v>0</v>
      </c>
    </row>
    <row r="232" spans="1:2">
      <c r="A232" t="s">
        <v>323</v>
      </c>
      <c r="B232">
        <v>0</v>
      </c>
    </row>
    <row r="233" spans="1:2">
      <c r="A233" t="s">
        <v>324</v>
      </c>
      <c r="B233">
        <v>0</v>
      </c>
    </row>
    <row r="234" spans="1:2">
      <c r="A234" t="s">
        <v>325</v>
      </c>
      <c r="B234">
        <v>1</v>
      </c>
    </row>
    <row r="235" spans="1:2">
      <c r="A235" t="s">
        <v>326</v>
      </c>
      <c r="B235">
        <v>1</v>
      </c>
    </row>
    <row r="236" spans="1:2">
      <c r="A236" t="s">
        <v>327</v>
      </c>
      <c r="B236">
        <v>3</v>
      </c>
    </row>
    <row r="237" spans="1:2">
      <c r="A237" t="s">
        <v>341</v>
      </c>
      <c r="B237">
        <v>3</v>
      </c>
    </row>
    <row r="238" spans="1:2">
      <c r="A238" t="s">
        <v>342</v>
      </c>
      <c r="B238">
        <v>2</v>
      </c>
    </row>
    <row r="239" spans="1:2">
      <c r="A239" t="s">
        <v>343</v>
      </c>
      <c r="B239">
        <v>3</v>
      </c>
    </row>
    <row r="240" spans="1:2">
      <c r="A240">
        <v>869291</v>
      </c>
      <c r="B240">
        <v>1</v>
      </c>
    </row>
    <row r="241" spans="1:2">
      <c r="A241">
        <v>869553</v>
      </c>
      <c r="B241">
        <v>0</v>
      </c>
    </row>
    <row r="242" spans="1:2">
      <c r="A242">
        <v>773775</v>
      </c>
      <c r="B242">
        <v>0</v>
      </c>
    </row>
    <row r="243" spans="1:2">
      <c r="A243" t="s">
        <v>328</v>
      </c>
      <c r="B243">
        <v>4</v>
      </c>
    </row>
    <row r="244" spans="1:2">
      <c r="A244">
        <v>881118</v>
      </c>
      <c r="B244">
        <v>-5</v>
      </c>
    </row>
    <row r="245" spans="1:2">
      <c r="A245" t="s">
        <v>315</v>
      </c>
      <c r="B245">
        <v>3</v>
      </c>
    </row>
    <row r="246" spans="1:2">
      <c r="A246" t="s">
        <v>586</v>
      </c>
      <c r="B246">
        <v>5</v>
      </c>
    </row>
    <row r="247" spans="1:2">
      <c r="A247" t="s">
        <v>329</v>
      </c>
      <c r="B247">
        <v>1</v>
      </c>
    </row>
    <row r="248" spans="1:2">
      <c r="A248" t="s">
        <v>330</v>
      </c>
      <c r="B248">
        <v>2</v>
      </c>
    </row>
    <row r="249" spans="1:2">
      <c r="A249" t="s">
        <v>344</v>
      </c>
      <c r="B249">
        <v>2</v>
      </c>
    </row>
    <row r="250" spans="1:2">
      <c r="A250" t="s">
        <v>331</v>
      </c>
      <c r="B250">
        <v>1</v>
      </c>
    </row>
    <row r="251" spans="1:2">
      <c r="A251" t="s">
        <v>332</v>
      </c>
      <c r="B251">
        <v>1</v>
      </c>
    </row>
    <row r="252" spans="1:2">
      <c r="A252">
        <v>877932</v>
      </c>
      <c r="B252">
        <v>0</v>
      </c>
    </row>
    <row r="253" spans="1:2">
      <c r="A253" t="s">
        <v>345</v>
      </c>
      <c r="B253">
        <v>0</v>
      </c>
    </row>
    <row r="254" spans="1:2">
      <c r="A254" t="s">
        <v>346</v>
      </c>
      <c r="B254">
        <v>1</v>
      </c>
    </row>
    <row r="255" spans="1:2">
      <c r="A255" t="s">
        <v>333</v>
      </c>
      <c r="B255">
        <v>1</v>
      </c>
    </row>
    <row r="256" spans="1:2">
      <c r="A256" t="s">
        <v>347</v>
      </c>
      <c r="B256">
        <v>1</v>
      </c>
    </row>
    <row r="257" spans="1:2">
      <c r="A257">
        <v>881119</v>
      </c>
      <c r="B257">
        <v>0</v>
      </c>
    </row>
    <row r="258" spans="1:2">
      <c r="A258" t="s">
        <v>348</v>
      </c>
      <c r="B258">
        <v>9</v>
      </c>
    </row>
    <row r="259" spans="1:2">
      <c r="A259" t="s">
        <v>334</v>
      </c>
      <c r="B259">
        <v>1</v>
      </c>
    </row>
    <row r="260" spans="1:2">
      <c r="A260" t="s">
        <v>335</v>
      </c>
      <c r="B260">
        <v>0</v>
      </c>
    </row>
    <row r="261" spans="1:2">
      <c r="A261" t="s">
        <v>336</v>
      </c>
      <c r="B261">
        <v>2</v>
      </c>
    </row>
    <row r="262" spans="1:2">
      <c r="A262" t="s">
        <v>337</v>
      </c>
      <c r="B262">
        <v>1</v>
      </c>
    </row>
    <row r="263" spans="1:2">
      <c r="A263" t="s">
        <v>338</v>
      </c>
      <c r="B263">
        <v>1</v>
      </c>
    </row>
    <row r="264" spans="1:2">
      <c r="A264">
        <v>880912</v>
      </c>
      <c r="B264">
        <v>0</v>
      </c>
    </row>
    <row r="265" spans="1:2">
      <c r="A265">
        <v>880946</v>
      </c>
      <c r="B265">
        <v>0</v>
      </c>
    </row>
    <row r="266" spans="1:2">
      <c r="A266">
        <v>874946</v>
      </c>
      <c r="B266">
        <v>0</v>
      </c>
    </row>
    <row r="267" spans="1:2">
      <c r="A267" t="s">
        <v>349</v>
      </c>
      <c r="B267">
        <v>0</v>
      </c>
    </row>
    <row r="268" spans="1:2">
      <c r="A268" t="s">
        <v>339</v>
      </c>
      <c r="B268">
        <v>0.77777777777777146</v>
      </c>
    </row>
    <row r="269" spans="1:2">
      <c r="A269">
        <v>885120</v>
      </c>
      <c r="B269">
        <v>15</v>
      </c>
    </row>
    <row r="270" spans="1:2">
      <c r="A270">
        <v>885194</v>
      </c>
      <c r="B270">
        <v>0</v>
      </c>
    </row>
    <row r="271" spans="1:2">
      <c r="A271">
        <v>874950</v>
      </c>
      <c r="B271">
        <v>0</v>
      </c>
    </row>
    <row r="272" spans="1:2">
      <c r="A272">
        <v>803820</v>
      </c>
      <c r="B272">
        <v>0</v>
      </c>
    </row>
    <row r="273" spans="1:2">
      <c r="A273">
        <v>881285</v>
      </c>
      <c r="B273">
        <v>10</v>
      </c>
    </row>
    <row r="274" spans="1:2">
      <c r="A274" t="s">
        <v>378</v>
      </c>
      <c r="B274">
        <v>12</v>
      </c>
    </row>
    <row r="275" spans="1:2">
      <c r="A275" t="s">
        <v>383</v>
      </c>
      <c r="B275">
        <v>0</v>
      </c>
    </row>
    <row r="276" spans="1:2">
      <c r="A276" t="s">
        <v>393</v>
      </c>
      <c r="B276">
        <v>0</v>
      </c>
    </row>
    <row r="277" spans="1:2">
      <c r="A277" t="s">
        <v>394</v>
      </c>
      <c r="B277">
        <v>0</v>
      </c>
    </row>
    <row r="278" spans="1:2">
      <c r="A278" t="s">
        <v>395</v>
      </c>
      <c r="B278">
        <v>0</v>
      </c>
    </row>
    <row r="279" spans="1:2">
      <c r="A279" t="s">
        <v>390</v>
      </c>
      <c r="B279">
        <v>0</v>
      </c>
    </row>
    <row r="280" spans="1:2">
      <c r="A280">
        <v>881568</v>
      </c>
      <c r="B280">
        <v>0</v>
      </c>
    </row>
    <row r="281" spans="1:2">
      <c r="A281">
        <v>550001</v>
      </c>
      <c r="B281">
        <v>0</v>
      </c>
    </row>
    <row r="282" spans="1:2">
      <c r="A282">
        <v>450001</v>
      </c>
      <c r="B282">
        <v>0</v>
      </c>
    </row>
    <row r="283" spans="1:2">
      <c r="A283">
        <v>450013</v>
      </c>
      <c r="B283">
        <v>2183</v>
      </c>
    </row>
    <row r="284" spans="1:2">
      <c r="A284">
        <v>450012</v>
      </c>
      <c r="B284">
        <v>5</v>
      </c>
    </row>
    <row r="285" spans="1:2">
      <c r="A285">
        <v>887715</v>
      </c>
      <c r="B285">
        <v>4</v>
      </c>
    </row>
    <row r="286" spans="1:2">
      <c r="A286">
        <v>887517</v>
      </c>
      <c r="B286">
        <v>24</v>
      </c>
    </row>
    <row r="287" spans="1:2">
      <c r="A287">
        <v>150035</v>
      </c>
      <c r="B287">
        <v>4</v>
      </c>
    </row>
    <row r="288" spans="1:2">
      <c r="A288" t="s">
        <v>414</v>
      </c>
      <c r="B288">
        <v>0</v>
      </c>
    </row>
    <row r="289" spans="1:2">
      <c r="A289" t="s">
        <v>415</v>
      </c>
      <c r="B289">
        <v>0</v>
      </c>
    </row>
    <row r="290" spans="1:2">
      <c r="A290" t="s">
        <v>416</v>
      </c>
      <c r="B290">
        <v>0</v>
      </c>
    </row>
    <row r="291" spans="1:2">
      <c r="A291" t="s">
        <v>429</v>
      </c>
      <c r="B291">
        <v>4486</v>
      </c>
    </row>
    <row r="292" spans="1:2">
      <c r="A292" t="s">
        <v>430</v>
      </c>
      <c r="B292">
        <v>1</v>
      </c>
    </row>
    <row r="293" spans="1:2">
      <c r="A293" t="s">
        <v>431</v>
      </c>
      <c r="B293">
        <v>10</v>
      </c>
    </row>
    <row r="294" spans="1:2">
      <c r="A294" t="s">
        <v>432</v>
      </c>
      <c r="B294">
        <v>635</v>
      </c>
    </row>
    <row r="295" spans="1:2">
      <c r="A295" t="s">
        <v>433</v>
      </c>
      <c r="B295">
        <v>1</v>
      </c>
    </row>
    <row r="296" spans="1:2">
      <c r="A296" t="s">
        <v>434</v>
      </c>
      <c r="B296">
        <v>15</v>
      </c>
    </row>
    <row r="297" spans="1:2">
      <c r="A297" t="s">
        <v>435</v>
      </c>
      <c r="B297">
        <v>18</v>
      </c>
    </row>
    <row r="298" spans="1:2">
      <c r="A298" t="s">
        <v>436</v>
      </c>
      <c r="B298">
        <v>0</v>
      </c>
    </row>
    <row r="299" spans="1:2">
      <c r="A299" t="s">
        <v>437</v>
      </c>
      <c r="B299">
        <v>0</v>
      </c>
    </row>
    <row r="300" spans="1:2">
      <c r="A300" t="s">
        <v>438</v>
      </c>
      <c r="B300">
        <v>0</v>
      </c>
    </row>
    <row r="301" spans="1:2">
      <c r="A301">
        <v>450016</v>
      </c>
      <c r="B301">
        <v>0</v>
      </c>
    </row>
    <row r="302" spans="1:2">
      <c r="A302" t="s">
        <v>440</v>
      </c>
      <c r="B302">
        <v>0</v>
      </c>
    </row>
    <row r="303" spans="1:2">
      <c r="A303" t="s">
        <v>441</v>
      </c>
      <c r="B303">
        <v>0</v>
      </c>
    </row>
    <row r="304" spans="1:2">
      <c r="A304" t="s">
        <v>442</v>
      </c>
      <c r="B304">
        <v>2.2222222222224586E-3</v>
      </c>
    </row>
    <row r="305" spans="1:2">
      <c r="A305" t="s">
        <v>443</v>
      </c>
      <c r="B305">
        <v>0</v>
      </c>
    </row>
    <row r="306" spans="1:2">
      <c r="A306" t="s">
        <v>444</v>
      </c>
      <c r="B306">
        <v>0</v>
      </c>
    </row>
    <row r="307" spans="1:2">
      <c r="A307" t="s">
        <v>445</v>
      </c>
      <c r="B307">
        <v>0</v>
      </c>
    </row>
    <row r="308" spans="1:2">
      <c r="A308" t="s">
        <v>446</v>
      </c>
      <c r="B308">
        <v>0</v>
      </c>
    </row>
    <row r="309" spans="1:2">
      <c r="A309" t="s">
        <v>447</v>
      </c>
      <c r="B309">
        <v>0</v>
      </c>
    </row>
    <row r="310" spans="1:2">
      <c r="A310">
        <v>869084</v>
      </c>
      <c r="B310">
        <v>711</v>
      </c>
    </row>
    <row r="311" spans="1:2">
      <c r="A311" t="s">
        <v>452</v>
      </c>
      <c r="B311">
        <v>530</v>
      </c>
    </row>
    <row r="312" spans="1:2">
      <c r="A312" t="s">
        <v>453</v>
      </c>
      <c r="B312">
        <v>45</v>
      </c>
    </row>
    <row r="313" spans="1:2">
      <c r="A313" t="s">
        <v>454</v>
      </c>
      <c r="B313">
        <v>9</v>
      </c>
    </row>
    <row r="314" spans="1:2">
      <c r="A314" t="s">
        <v>455</v>
      </c>
      <c r="B314">
        <v>4</v>
      </c>
    </row>
    <row r="315" spans="1:2">
      <c r="A315" t="s">
        <v>456</v>
      </c>
      <c r="B315">
        <v>1</v>
      </c>
    </row>
    <row r="316" spans="1:2">
      <c r="A316" t="s">
        <v>457</v>
      </c>
      <c r="B316">
        <v>0</v>
      </c>
    </row>
    <row r="317" spans="1:2">
      <c r="A317" t="s">
        <v>458</v>
      </c>
      <c r="B317">
        <v>0</v>
      </c>
    </row>
    <row r="318" spans="1:2">
      <c r="A318" t="s">
        <v>459</v>
      </c>
      <c r="B318">
        <v>1</v>
      </c>
    </row>
    <row r="319" spans="1:2">
      <c r="A319">
        <v>887716</v>
      </c>
      <c r="B319">
        <v>195</v>
      </c>
    </row>
    <row r="320" spans="1:2">
      <c r="A320" t="s">
        <v>460</v>
      </c>
      <c r="B320">
        <v>0</v>
      </c>
    </row>
    <row r="321" spans="1:2">
      <c r="A321">
        <v>888811</v>
      </c>
      <c r="B321">
        <v>7</v>
      </c>
    </row>
    <row r="322" spans="1:2">
      <c r="A322">
        <v>888770</v>
      </c>
      <c r="B322">
        <v>4</v>
      </c>
    </row>
    <row r="323" spans="1:2">
      <c r="A323" t="s">
        <v>476</v>
      </c>
      <c r="B323">
        <v>1</v>
      </c>
    </row>
    <row r="324" spans="1:2">
      <c r="A324" t="s">
        <v>477</v>
      </c>
      <c r="B324">
        <v>0</v>
      </c>
    </row>
    <row r="325" spans="1:2">
      <c r="A325" t="s">
        <v>478</v>
      </c>
      <c r="B325">
        <v>0</v>
      </c>
    </row>
    <row r="326" spans="1:2">
      <c r="A326" t="s">
        <v>479</v>
      </c>
      <c r="B326">
        <v>2303</v>
      </c>
    </row>
    <row r="327" spans="1:2">
      <c r="A327" t="s">
        <v>480</v>
      </c>
      <c r="B327">
        <v>0</v>
      </c>
    </row>
    <row r="328" spans="1:2">
      <c r="A328" t="s">
        <v>481</v>
      </c>
      <c r="B328">
        <v>2521</v>
      </c>
    </row>
    <row r="329" spans="1:2">
      <c r="A329" t="s">
        <v>482</v>
      </c>
      <c r="B329">
        <v>1</v>
      </c>
    </row>
    <row r="330" spans="1:2">
      <c r="A330" t="s">
        <v>483</v>
      </c>
      <c r="B330">
        <v>0</v>
      </c>
    </row>
    <row r="331" spans="1:2">
      <c r="A331" t="s">
        <v>484</v>
      </c>
      <c r="B331">
        <v>0</v>
      </c>
    </row>
    <row r="332" spans="1:2">
      <c r="A332" t="s">
        <v>485</v>
      </c>
      <c r="B332">
        <v>8</v>
      </c>
    </row>
    <row r="333" spans="1:2">
      <c r="A333" t="s">
        <v>486</v>
      </c>
      <c r="B333">
        <v>24</v>
      </c>
    </row>
    <row r="334" spans="1:2">
      <c r="A334" t="s">
        <v>487</v>
      </c>
      <c r="B334">
        <v>1</v>
      </c>
    </row>
    <row r="335" spans="1:2">
      <c r="A335" t="s">
        <v>488</v>
      </c>
      <c r="B335">
        <v>29</v>
      </c>
    </row>
    <row r="336" spans="1:2">
      <c r="A336" t="s">
        <v>489</v>
      </c>
      <c r="B336">
        <v>896</v>
      </c>
    </row>
    <row r="337" spans="1:2">
      <c r="A337" t="s">
        <v>490</v>
      </c>
      <c r="B337">
        <v>0</v>
      </c>
    </row>
    <row r="338" spans="1:2">
      <c r="A338" t="s">
        <v>491</v>
      </c>
      <c r="B338">
        <v>0</v>
      </c>
    </row>
    <row r="339" spans="1:2">
      <c r="A339" t="s">
        <v>492</v>
      </c>
      <c r="B339">
        <v>0</v>
      </c>
    </row>
    <row r="340" spans="1:2">
      <c r="A340" t="s">
        <v>493</v>
      </c>
      <c r="B340">
        <v>0</v>
      </c>
    </row>
    <row r="341" spans="1:2">
      <c r="A341">
        <v>846438</v>
      </c>
      <c r="B341">
        <v>0</v>
      </c>
    </row>
    <row r="342" spans="1:2">
      <c r="A342" t="s">
        <v>499</v>
      </c>
      <c r="B342">
        <v>31</v>
      </c>
    </row>
    <row r="343" spans="1:2">
      <c r="A343" t="s">
        <v>500</v>
      </c>
      <c r="B343">
        <v>0</v>
      </c>
    </row>
    <row r="344" spans="1:2">
      <c r="A344" t="s">
        <v>501</v>
      </c>
      <c r="B344">
        <v>103</v>
      </c>
    </row>
    <row r="345" spans="1:2">
      <c r="A345" t="s">
        <v>510</v>
      </c>
      <c r="B345">
        <v>72</v>
      </c>
    </row>
    <row r="346" spans="1:2">
      <c r="A346" t="s">
        <v>522</v>
      </c>
      <c r="B346">
        <v>0</v>
      </c>
    </row>
    <row r="347" spans="1:2">
      <c r="A347">
        <v>891553</v>
      </c>
      <c r="B347">
        <v>1</v>
      </c>
    </row>
    <row r="348" spans="1:2">
      <c r="A348">
        <v>887513</v>
      </c>
      <c r="B348">
        <v>121</v>
      </c>
    </row>
    <row r="349" spans="1:2">
      <c r="A349">
        <v>894325</v>
      </c>
      <c r="B349">
        <v>64</v>
      </c>
    </row>
    <row r="350" spans="1:2">
      <c r="A350">
        <v>887713</v>
      </c>
      <c r="B350">
        <v>0</v>
      </c>
    </row>
    <row r="351" spans="1:2">
      <c r="A351" t="s">
        <v>554</v>
      </c>
      <c r="B351">
        <v>0</v>
      </c>
    </row>
    <row r="352" spans="1:2">
      <c r="A352" t="s">
        <v>555</v>
      </c>
      <c r="B352">
        <v>3.9444444444444429</v>
      </c>
    </row>
    <row r="353" spans="1:2">
      <c r="A353" t="s">
        <v>556</v>
      </c>
      <c r="B353">
        <v>0</v>
      </c>
    </row>
    <row r="354" spans="1:2">
      <c r="A354" t="s">
        <v>557</v>
      </c>
      <c r="B354">
        <v>1</v>
      </c>
    </row>
    <row r="355" spans="1:2">
      <c r="A355" t="s">
        <v>558</v>
      </c>
      <c r="B355">
        <v>3225</v>
      </c>
    </row>
    <row r="356" spans="1:2">
      <c r="A356" t="s">
        <v>559</v>
      </c>
      <c r="B356">
        <v>2946</v>
      </c>
    </row>
    <row r="357" spans="1:2">
      <c r="A357">
        <v>891908</v>
      </c>
      <c r="B357">
        <v>397</v>
      </c>
    </row>
    <row r="358" spans="1:2">
      <c r="A358">
        <v>896345</v>
      </c>
      <c r="B358">
        <v>0</v>
      </c>
    </row>
    <row r="359" spans="1:2">
      <c r="A359" t="s">
        <v>560</v>
      </c>
      <c r="B359">
        <v>584</v>
      </c>
    </row>
    <row r="360" spans="1:2">
      <c r="A360" t="s">
        <v>561</v>
      </c>
      <c r="B360">
        <v>310</v>
      </c>
    </row>
    <row r="361" spans="1:2">
      <c r="A361" t="s">
        <v>562</v>
      </c>
      <c r="B361">
        <v>0</v>
      </c>
    </row>
    <row r="362" spans="1:2">
      <c r="A362" t="s">
        <v>563</v>
      </c>
      <c r="B362">
        <v>0</v>
      </c>
    </row>
    <row r="363" spans="1:2">
      <c r="A363" t="s">
        <v>564</v>
      </c>
      <c r="B363">
        <v>0</v>
      </c>
    </row>
    <row r="364" spans="1:2">
      <c r="A364" t="s">
        <v>565</v>
      </c>
      <c r="B364">
        <v>0</v>
      </c>
    </row>
    <row r="365" spans="1:2">
      <c r="A365" t="s">
        <v>566</v>
      </c>
      <c r="B365">
        <v>0</v>
      </c>
    </row>
    <row r="366" spans="1:2">
      <c r="A366" t="s">
        <v>567</v>
      </c>
      <c r="B366">
        <v>0</v>
      </c>
    </row>
    <row r="367" spans="1:2">
      <c r="A367">
        <v>894333</v>
      </c>
      <c r="B367">
        <v>87</v>
      </c>
    </row>
    <row r="368" spans="1:2">
      <c r="A368" t="s">
        <v>568</v>
      </c>
      <c r="B368">
        <v>0</v>
      </c>
    </row>
    <row r="369" spans="1:2">
      <c r="A369" t="s">
        <v>544</v>
      </c>
      <c r="B369">
        <v>2</v>
      </c>
    </row>
    <row r="370" spans="1:2">
      <c r="A370" t="s">
        <v>570</v>
      </c>
      <c r="B370">
        <v>0</v>
      </c>
    </row>
    <row r="371" spans="1:2">
      <c r="A371" t="s">
        <v>574</v>
      </c>
      <c r="B371">
        <v>1.025000000000027</v>
      </c>
    </row>
    <row r="372" spans="1:2">
      <c r="A372" t="s">
        <v>575</v>
      </c>
      <c r="B372">
        <v>0</v>
      </c>
    </row>
    <row r="373" spans="1:2">
      <c r="A373" t="s">
        <v>577</v>
      </c>
      <c r="B373">
        <v>0</v>
      </c>
    </row>
    <row r="374" spans="1:2">
      <c r="A374">
        <v>889677</v>
      </c>
      <c r="B374">
        <v>0</v>
      </c>
    </row>
    <row r="375" spans="1:2">
      <c r="A375" t="s">
        <v>579</v>
      </c>
      <c r="B375">
        <v>59</v>
      </c>
    </row>
    <row r="376" spans="1:2">
      <c r="A376" t="s">
        <v>580</v>
      </c>
      <c r="B376">
        <v>0</v>
      </c>
    </row>
    <row r="377" spans="1:2">
      <c r="A377" t="s">
        <v>582</v>
      </c>
      <c r="B377">
        <v>0</v>
      </c>
    </row>
    <row r="378" spans="1:2">
      <c r="A378" t="s">
        <v>583</v>
      </c>
      <c r="B378">
        <v>0</v>
      </c>
    </row>
    <row r="379" spans="1:2">
      <c r="A379" t="s">
        <v>587</v>
      </c>
      <c r="B379">
        <v>31</v>
      </c>
    </row>
    <row r="380" spans="1:2">
      <c r="A380" t="s">
        <v>588</v>
      </c>
      <c r="B380">
        <v>0</v>
      </c>
    </row>
    <row r="381" spans="1:2">
      <c r="A381" t="s">
        <v>589</v>
      </c>
      <c r="B381">
        <v>0</v>
      </c>
    </row>
    <row r="382" spans="1:2">
      <c r="A382" t="s">
        <v>590</v>
      </c>
      <c r="B382">
        <v>0</v>
      </c>
    </row>
    <row r="383" spans="1:2">
      <c r="A383" t="s">
        <v>591</v>
      </c>
      <c r="B383">
        <v>0</v>
      </c>
    </row>
    <row r="384" spans="1:2">
      <c r="A384" t="s">
        <v>592</v>
      </c>
      <c r="B384">
        <v>1</v>
      </c>
    </row>
    <row r="385" spans="1:2">
      <c r="A385" t="s">
        <v>593</v>
      </c>
      <c r="B385">
        <v>0</v>
      </c>
    </row>
    <row r="386" spans="1:2">
      <c r="A386" t="s">
        <v>599</v>
      </c>
      <c r="B386">
        <v>0</v>
      </c>
    </row>
    <row r="387" spans="1:2">
      <c r="A387" t="s">
        <v>600</v>
      </c>
      <c r="B387">
        <v>0</v>
      </c>
    </row>
    <row r="388" spans="1:2">
      <c r="A388" t="s">
        <v>604</v>
      </c>
      <c r="B388">
        <v>0</v>
      </c>
    </row>
    <row r="389" spans="1:2">
      <c r="A389" t="s">
        <v>608</v>
      </c>
      <c r="B389">
        <v>60</v>
      </c>
    </row>
    <row r="390" spans="1:2">
      <c r="A390" t="s">
        <v>609</v>
      </c>
      <c r="B390">
        <v>39</v>
      </c>
    </row>
    <row r="391" spans="1:2">
      <c r="A391">
        <v>897409</v>
      </c>
      <c r="B391">
        <v>726</v>
      </c>
    </row>
    <row r="392" spans="1:2">
      <c r="A392">
        <v>883081</v>
      </c>
      <c r="B392">
        <v>12</v>
      </c>
    </row>
    <row r="393" spans="1:2">
      <c r="A393" t="s">
        <v>612</v>
      </c>
      <c r="B393">
        <v>0</v>
      </c>
    </row>
    <row r="394" spans="1:2">
      <c r="A394" t="s">
        <v>613</v>
      </c>
      <c r="B394">
        <v>0</v>
      </c>
    </row>
    <row r="395" spans="1:2">
      <c r="A395">
        <v>150165</v>
      </c>
      <c r="B395">
        <v>25</v>
      </c>
    </row>
    <row r="396" spans="1:2">
      <c r="A396">
        <v>900685</v>
      </c>
      <c r="B396">
        <v>484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6"/>
  <sheetViews>
    <sheetView topLeftCell="A380" workbookViewId="0">
      <selection activeCell="B391" sqref="B391"/>
    </sheetView>
  </sheetViews>
  <sheetFormatPr defaultRowHeight="15"/>
  <cols>
    <col min="2" max="2" width="9.140625" style="119"/>
  </cols>
  <sheetData>
    <row r="1" spans="1:4">
      <c r="A1" t="s">
        <v>169</v>
      </c>
      <c r="B1" s="119">
        <f>C1+D1</f>
        <v>0</v>
      </c>
      <c r="C1">
        <v>0</v>
      </c>
      <c r="D1">
        <v>0</v>
      </c>
    </row>
    <row r="2" spans="1:4">
      <c r="A2" t="s">
        <v>171</v>
      </c>
      <c r="B2" s="119">
        <f t="shared" ref="B2:B65" si="0">C2+D2</f>
        <v>0</v>
      </c>
      <c r="C2">
        <v>0</v>
      </c>
      <c r="D2" s="119">
        <v>0</v>
      </c>
    </row>
    <row r="3" spans="1:4">
      <c r="A3" t="s">
        <v>172</v>
      </c>
      <c r="B3" s="119">
        <f t="shared" si="0"/>
        <v>0</v>
      </c>
      <c r="C3">
        <v>0</v>
      </c>
      <c r="D3" s="119">
        <v>0</v>
      </c>
    </row>
    <row r="4" spans="1:4">
      <c r="A4" t="s">
        <v>173</v>
      </c>
      <c r="B4" s="119">
        <f t="shared" si="0"/>
        <v>0</v>
      </c>
      <c r="C4">
        <v>0</v>
      </c>
      <c r="D4" s="119">
        <v>0</v>
      </c>
    </row>
    <row r="5" spans="1:4">
      <c r="A5" t="s">
        <v>174</v>
      </c>
      <c r="B5" s="119" t="e">
        <f t="shared" si="0"/>
        <v>#N/A</v>
      </c>
      <c r="C5">
        <v>0</v>
      </c>
      <c r="D5" s="119" t="e">
        <v>#N/A</v>
      </c>
    </row>
    <row r="6" spans="1:4">
      <c r="A6" t="s">
        <v>175</v>
      </c>
      <c r="B6" s="119">
        <f t="shared" si="0"/>
        <v>0</v>
      </c>
      <c r="C6">
        <v>0</v>
      </c>
      <c r="D6" s="119">
        <v>0</v>
      </c>
    </row>
    <row r="7" spans="1:4">
      <c r="A7" t="s">
        <v>176</v>
      </c>
      <c r="B7" s="119">
        <f t="shared" si="0"/>
        <v>0</v>
      </c>
      <c r="C7">
        <v>0</v>
      </c>
      <c r="D7" s="119">
        <v>0</v>
      </c>
    </row>
    <row r="8" spans="1:4">
      <c r="A8" t="s">
        <v>177</v>
      </c>
      <c r="B8" s="119">
        <f t="shared" si="0"/>
        <v>0</v>
      </c>
      <c r="C8">
        <v>0</v>
      </c>
      <c r="D8" s="119">
        <v>0</v>
      </c>
    </row>
    <row r="9" spans="1:4">
      <c r="A9" t="s">
        <v>178</v>
      </c>
      <c r="B9" s="119">
        <f t="shared" si="0"/>
        <v>4</v>
      </c>
      <c r="C9">
        <v>4</v>
      </c>
      <c r="D9" s="119">
        <v>0</v>
      </c>
    </row>
    <row r="10" spans="1:4">
      <c r="A10" t="s">
        <v>179</v>
      </c>
      <c r="B10" s="119">
        <f t="shared" si="0"/>
        <v>1</v>
      </c>
      <c r="C10">
        <v>1</v>
      </c>
      <c r="D10" s="119">
        <v>0</v>
      </c>
    </row>
    <row r="11" spans="1:4">
      <c r="A11" t="s">
        <v>180</v>
      </c>
      <c r="B11" s="119">
        <f t="shared" si="0"/>
        <v>0</v>
      </c>
      <c r="C11">
        <v>0</v>
      </c>
      <c r="D11" s="119">
        <v>0</v>
      </c>
    </row>
    <row r="12" spans="1:4">
      <c r="A12" t="s">
        <v>181</v>
      </c>
      <c r="B12" s="119">
        <f t="shared" si="0"/>
        <v>0</v>
      </c>
      <c r="C12">
        <v>0</v>
      </c>
      <c r="D12" s="119">
        <v>0</v>
      </c>
    </row>
    <row r="13" spans="1:4">
      <c r="A13" t="s">
        <v>182</v>
      </c>
      <c r="B13" s="119">
        <f t="shared" si="0"/>
        <v>0</v>
      </c>
      <c r="C13">
        <v>0</v>
      </c>
      <c r="D13" s="119">
        <v>0</v>
      </c>
    </row>
    <row r="14" spans="1:4">
      <c r="A14" t="s">
        <v>183</v>
      </c>
      <c r="B14" s="119">
        <f t="shared" si="0"/>
        <v>0</v>
      </c>
      <c r="C14">
        <v>0</v>
      </c>
      <c r="D14" s="119">
        <v>0</v>
      </c>
    </row>
    <row r="15" spans="1:4">
      <c r="A15" t="s">
        <v>184</v>
      </c>
      <c r="B15" s="119">
        <f t="shared" si="0"/>
        <v>0</v>
      </c>
      <c r="C15">
        <v>0</v>
      </c>
      <c r="D15" s="119">
        <v>0</v>
      </c>
    </row>
    <row r="16" spans="1:4">
      <c r="A16" t="s">
        <v>185</v>
      </c>
      <c r="B16" s="119">
        <f t="shared" si="0"/>
        <v>0</v>
      </c>
      <c r="C16">
        <v>0</v>
      </c>
      <c r="D16" s="119">
        <v>0</v>
      </c>
    </row>
    <row r="17" spans="1:4">
      <c r="A17" t="s">
        <v>186</v>
      </c>
      <c r="B17" s="119">
        <f t="shared" si="0"/>
        <v>0</v>
      </c>
      <c r="C17">
        <v>0</v>
      </c>
      <c r="D17" s="119">
        <v>0</v>
      </c>
    </row>
    <row r="18" spans="1:4">
      <c r="A18">
        <v>691782</v>
      </c>
      <c r="B18" s="119">
        <f t="shared" si="0"/>
        <v>1.100000000000001</v>
      </c>
      <c r="C18">
        <v>0</v>
      </c>
      <c r="D18" s="119">
        <v>1.100000000000001</v>
      </c>
    </row>
    <row r="19" spans="1:4">
      <c r="A19">
        <v>692250</v>
      </c>
      <c r="B19" s="119">
        <f t="shared" si="0"/>
        <v>1.83</v>
      </c>
      <c r="C19">
        <v>1.83</v>
      </c>
      <c r="D19" s="119">
        <v>0</v>
      </c>
    </row>
    <row r="20" spans="1:4">
      <c r="A20">
        <v>692332</v>
      </c>
      <c r="B20" s="119">
        <f t="shared" si="0"/>
        <v>11.230000000000008</v>
      </c>
      <c r="C20">
        <v>11.05</v>
      </c>
      <c r="D20" s="119">
        <v>0.18000000000000682</v>
      </c>
    </row>
    <row r="21" spans="1:4">
      <c r="A21">
        <v>692334</v>
      </c>
      <c r="B21" s="119">
        <f t="shared" si="0"/>
        <v>10</v>
      </c>
      <c r="C21">
        <v>10</v>
      </c>
      <c r="D21" s="119">
        <v>0</v>
      </c>
    </row>
    <row r="22" spans="1:4">
      <c r="A22">
        <v>692178</v>
      </c>
      <c r="B22" s="119">
        <f t="shared" si="0"/>
        <v>0</v>
      </c>
      <c r="C22">
        <v>0</v>
      </c>
      <c r="D22" s="119">
        <v>0</v>
      </c>
    </row>
    <row r="23" spans="1:4">
      <c r="A23">
        <v>692027</v>
      </c>
      <c r="B23" s="119">
        <f t="shared" si="0"/>
        <v>76.78</v>
      </c>
      <c r="C23">
        <v>62</v>
      </c>
      <c r="D23" s="119">
        <v>14.780000000000001</v>
      </c>
    </row>
    <row r="24" spans="1:4">
      <c r="A24">
        <v>692026</v>
      </c>
      <c r="B24" s="119">
        <f t="shared" si="0"/>
        <v>5.9250000000000034</v>
      </c>
      <c r="C24">
        <v>1.925</v>
      </c>
      <c r="D24" s="119">
        <v>4.0000000000000036</v>
      </c>
    </row>
    <row r="25" spans="1:4">
      <c r="A25">
        <v>692079</v>
      </c>
      <c r="B25" s="119">
        <f t="shared" si="0"/>
        <v>32</v>
      </c>
      <c r="C25">
        <v>29</v>
      </c>
      <c r="D25" s="119">
        <v>3</v>
      </c>
    </row>
    <row r="26" spans="1:4">
      <c r="A26">
        <v>692077</v>
      </c>
      <c r="B26" s="119">
        <f t="shared" si="0"/>
        <v>4.88</v>
      </c>
      <c r="C26">
        <v>4.88</v>
      </c>
      <c r="D26" s="119">
        <v>0</v>
      </c>
    </row>
    <row r="27" spans="1:4">
      <c r="A27">
        <v>692030</v>
      </c>
      <c r="B27" s="119">
        <f t="shared" si="0"/>
        <v>0.28000000000000114</v>
      </c>
      <c r="C27">
        <v>0</v>
      </c>
      <c r="D27" s="119">
        <v>0.28000000000000114</v>
      </c>
    </row>
    <row r="28" spans="1:4">
      <c r="A28">
        <v>686033</v>
      </c>
      <c r="B28" s="119">
        <f t="shared" si="0"/>
        <v>28</v>
      </c>
      <c r="C28">
        <v>7</v>
      </c>
      <c r="D28" s="119">
        <v>21</v>
      </c>
    </row>
    <row r="29" spans="1:4">
      <c r="A29">
        <v>686032</v>
      </c>
      <c r="B29" s="119">
        <f t="shared" si="0"/>
        <v>276</v>
      </c>
      <c r="C29">
        <v>0</v>
      </c>
      <c r="D29" s="119">
        <v>276</v>
      </c>
    </row>
    <row r="30" spans="1:4">
      <c r="A30">
        <v>690814</v>
      </c>
      <c r="B30" s="119">
        <f t="shared" si="0"/>
        <v>0</v>
      </c>
      <c r="C30">
        <v>0</v>
      </c>
      <c r="D30" s="119">
        <v>0</v>
      </c>
    </row>
    <row r="31" spans="1:4">
      <c r="A31">
        <v>691848</v>
      </c>
      <c r="B31" s="119">
        <f t="shared" si="0"/>
        <v>22</v>
      </c>
      <c r="C31">
        <v>11</v>
      </c>
      <c r="D31" s="119">
        <v>11</v>
      </c>
    </row>
    <row r="32" spans="1:4">
      <c r="A32">
        <v>691911</v>
      </c>
      <c r="B32" s="119">
        <f t="shared" si="0"/>
        <v>0</v>
      </c>
      <c r="C32">
        <v>0</v>
      </c>
      <c r="D32" s="119">
        <v>0</v>
      </c>
    </row>
    <row r="33" spans="1:4">
      <c r="A33">
        <v>691781</v>
      </c>
      <c r="B33" s="119">
        <f t="shared" si="0"/>
        <v>0</v>
      </c>
      <c r="C33">
        <v>0</v>
      </c>
      <c r="D33" s="119">
        <v>0</v>
      </c>
    </row>
    <row r="34" spans="1:4">
      <c r="A34" t="s">
        <v>187</v>
      </c>
      <c r="B34" s="119">
        <f t="shared" si="0"/>
        <v>267.05000000000018</v>
      </c>
      <c r="C34">
        <v>172</v>
      </c>
      <c r="D34" s="119">
        <v>95.050000000000182</v>
      </c>
    </row>
    <row r="35" spans="1:4">
      <c r="A35" t="s">
        <v>188</v>
      </c>
      <c r="B35" s="119">
        <f t="shared" si="0"/>
        <v>1.6153999999999997</v>
      </c>
      <c r="C35">
        <v>1.6153999999999997</v>
      </c>
      <c r="D35" s="119">
        <v>0</v>
      </c>
    </row>
    <row r="36" spans="1:4">
      <c r="A36" t="s">
        <v>189</v>
      </c>
      <c r="B36" s="119">
        <f t="shared" si="0"/>
        <v>6</v>
      </c>
      <c r="C36">
        <v>6</v>
      </c>
      <c r="D36" s="119">
        <v>0</v>
      </c>
    </row>
    <row r="37" spans="1:4">
      <c r="A37" t="s">
        <v>190</v>
      </c>
      <c r="B37" s="119">
        <f t="shared" si="0"/>
        <v>8.4807700000000068</v>
      </c>
      <c r="C37">
        <v>7</v>
      </c>
      <c r="D37" s="119">
        <v>1.4807700000000068</v>
      </c>
    </row>
    <row r="38" spans="1:4">
      <c r="A38" t="s">
        <v>191</v>
      </c>
      <c r="B38" s="119">
        <f t="shared" si="0"/>
        <v>25</v>
      </c>
      <c r="C38">
        <v>10</v>
      </c>
      <c r="D38" s="119">
        <v>15</v>
      </c>
    </row>
    <row r="39" spans="1:4">
      <c r="A39" t="s">
        <v>192</v>
      </c>
      <c r="B39" s="119">
        <f t="shared" si="0"/>
        <v>2</v>
      </c>
      <c r="C39">
        <v>0</v>
      </c>
      <c r="D39" s="119">
        <v>2</v>
      </c>
    </row>
    <row r="40" spans="1:4">
      <c r="A40" t="s">
        <v>193</v>
      </c>
      <c r="B40" s="119">
        <f t="shared" si="0"/>
        <v>34.800000000000011</v>
      </c>
      <c r="C40">
        <v>33</v>
      </c>
      <c r="D40" s="119">
        <v>1.8000000000000114</v>
      </c>
    </row>
    <row r="41" spans="1:4">
      <c r="A41" t="s">
        <v>194</v>
      </c>
      <c r="B41" s="119">
        <f t="shared" si="0"/>
        <v>0</v>
      </c>
      <c r="C41">
        <v>0</v>
      </c>
      <c r="D41" s="119">
        <v>0</v>
      </c>
    </row>
    <row r="42" spans="1:4">
      <c r="A42" t="s">
        <v>195</v>
      </c>
      <c r="B42" s="119">
        <f t="shared" si="0"/>
        <v>69.025000000000091</v>
      </c>
      <c r="C42">
        <v>68</v>
      </c>
      <c r="D42" s="119">
        <v>1.0250000000000909</v>
      </c>
    </row>
    <row r="43" spans="1:4">
      <c r="A43" t="s">
        <v>196</v>
      </c>
      <c r="B43" s="119">
        <f t="shared" si="0"/>
        <v>37.800000000000011</v>
      </c>
      <c r="C43">
        <v>31</v>
      </c>
      <c r="D43" s="119">
        <v>6.8000000000000114</v>
      </c>
    </row>
    <row r="44" spans="1:4">
      <c r="A44" t="s">
        <v>197</v>
      </c>
      <c r="B44" s="119">
        <f t="shared" si="0"/>
        <v>10</v>
      </c>
      <c r="C44">
        <v>8</v>
      </c>
      <c r="D44" s="119">
        <v>2</v>
      </c>
    </row>
    <row r="45" spans="1:4">
      <c r="A45" t="s">
        <v>198</v>
      </c>
      <c r="B45" s="119">
        <f t="shared" si="0"/>
        <v>11.777777777777771</v>
      </c>
      <c r="C45">
        <v>10</v>
      </c>
      <c r="D45" s="119">
        <v>1.7777777777777715</v>
      </c>
    </row>
    <row r="46" spans="1:4">
      <c r="A46">
        <v>692070</v>
      </c>
      <c r="B46" s="119">
        <f t="shared" si="0"/>
        <v>0</v>
      </c>
      <c r="C46">
        <v>0</v>
      </c>
      <c r="D46" s="119">
        <v>0</v>
      </c>
    </row>
    <row r="47" spans="1:4">
      <c r="A47">
        <v>692053</v>
      </c>
      <c r="B47" s="119">
        <f t="shared" si="0"/>
        <v>8.038888888888323</v>
      </c>
      <c r="C47">
        <v>8</v>
      </c>
      <c r="D47" s="119">
        <v>3.8888888888322981E-2</v>
      </c>
    </row>
    <row r="48" spans="1:4">
      <c r="A48">
        <v>692052</v>
      </c>
      <c r="B48" s="119">
        <f t="shared" si="0"/>
        <v>4</v>
      </c>
      <c r="C48">
        <v>4</v>
      </c>
      <c r="D48" s="119">
        <v>0</v>
      </c>
    </row>
    <row r="49" spans="1:4">
      <c r="A49">
        <v>692172</v>
      </c>
      <c r="B49" s="119">
        <f t="shared" si="0"/>
        <v>0</v>
      </c>
      <c r="C49">
        <v>0</v>
      </c>
      <c r="D49" s="119">
        <v>0</v>
      </c>
    </row>
    <row r="50" spans="1:4">
      <c r="A50">
        <v>692090</v>
      </c>
      <c r="B50" s="119">
        <f t="shared" si="0"/>
        <v>0</v>
      </c>
      <c r="C50">
        <v>0</v>
      </c>
      <c r="D50" s="119">
        <v>0</v>
      </c>
    </row>
    <row r="51" spans="1:4">
      <c r="A51">
        <v>692335</v>
      </c>
      <c r="B51" s="119">
        <f t="shared" si="0"/>
        <v>55.78</v>
      </c>
      <c r="C51">
        <v>53</v>
      </c>
      <c r="D51" s="119">
        <v>2.7800000000000011</v>
      </c>
    </row>
    <row r="52" spans="1:4">
      <c r="A52" t="s">
        <v>199</v>
      </c>
      <c r="B52" s="119">
        <f t="shared" si="0"/>
        <v>0</v>
      </c>
      <c r="C52">
        <v>0</v>
      </c>
      <c r="D52" s="119">
        <v>0</v>
      </c>
    </row>
    <row r="53" spans="1:4">
      <c r="A53" t="s">
        <v>200</v>
      </c>
      <c r="B53" s="119">
        <f t="shared" si="0"/>
        <v>40</v>
      </c>
      <c r="C53">
        <v>20</v>
      </c>
      <c r="D53" s="119">
        <v>20</v>
      </c>
    </row>
    <row r="54" spans="1:4">
      <c r="A54" t="s">
        <v>201</v>
      </c>
      <c r="B54" s="119">
        <f t="shared" si="0"/>
        <v>64</v>
      </c>
      <c r="C54">
        <v>7</v>
      </c>
      <c r="D54" s="119">
        <v>57</v>
      </c>
    </row>
    <row r="55" spans="1:4">
      <c r="A55">
        <v>685850</v>
      </c>
      <c r="B55" s="119">
        <f t="shared" si="0"/>
        <v>0</v>
      </c>
      <c r="C55">
        <v>0</v>
      </c>
      <c r="D55" s="119">
        <v>0</v>
      </c>
    </row>
    <row r="56" spans="1:4">
      <c r="A56">
        <v>692054</v>
      </c>
      <c r="B56" s="119">
        <f t="shared" si="0"/>
        <v>36</v>
      </c>
      <c r="C56">
        <v>36</v>
      </c>
      <c r="D56" s="119">
        <v>0</v>
      </c>
    </row>
    <row r="57" spans="1:4">
      <c r="A57">
        <v>692082</v>
      </c>
      <c r="B57" s="119">
        <f t="shared" si="0"/>
        <v>0</v>
      </c>
      <c r="C57">
        <v>0</v>
      </c>
      <c r="D57" s="119">
        <v>0</v>
      </c>
    </row>
    <row r="58" spans="1:4">
      <c r="A58">
        <v>724027</v>
      </c>
      <c r="B58" s="119">
        <f t="shared" si="0"/>
        <v>0</v>
      </c>
      <c r="C58">
        <v>0</v>
      </c>
      <c r="D58" s="119">
        <v>0</v>
      </c>
    </row>
    <row r="59" spans="1:4">
      <c r="A59">
        <v>793317</v>
      </c>
      <c r="B59" s="119">
        <f t="shared" si="0"/>
        <v>50</v>
      </c>
      <c r="C59">
        <v>12</v>
      </c>
      <c r="D59" s="119">
        <v>38</v>
      </c>
    </row>
    <row r="60" spans="1:4">
      <c r="A60">
        <v>692247</v>
      </c>
      <c r="B60" s="119">
        <f t="shared" si="0"/>
        <v>711</v>
      </c>
      <c r="C60">
        <v>647</v>
      </c>
      <c r="D60" s="119">
        <v>64</v>
      </c>
    </row>
    <row r="61" spans="1:4">
      <c r="A61">
        <v>732728</v>
      </c>
      <c r="B61" s="119">
        <f t="shared" si="0"/>
        <v>0</v>
      </c>
      <c r="C61">
        <v>0</v>
      </c>
      <c r="D61" s="119">
        <v>0</v>
      </c>
    </row>
    <row r="62" spans="1:4">
      <c r="A62">
        <v>692249</v>
      </c>
      <c r="B62" s="119">
        <f t="shared" si="0"/>
        <v>966</v>
      </c>
      <c r="C62">
        <v>960</v>
      </c>
      <c r="D62" s="119">
        <v>6</v>
      </c>
    </row>
    <row r="63" spans="1:4">
      <c r="A63">
        <v>772588</v>
      </c>
      <c r="B63" s="119">
        <f t="shared" si="0"/>
        <v>0</v>
      </c>
      <c r="C63">
        <v>0</v>
      </c>
      <c r="D63" s="119">
        <v>0</v>
      </c>
    </row>
    <row r="64" spans="1:4">
      <c r="A64">
        <v>724026</v>
      </c>
      <c r="B64" s="119">
        <f t="shared" si="0"/>
        <v>1</v>
      </c>
      <c r="C64">
        <v>1</v>
      </c>
      <c r="D64" s="119">
        <v>0</v>
      </c>
    </row>
    <row r="65" spans="1:4">
      <c r="A65">
        <v>691970</v>
      </c>
      <c r="B65" s="119">
        <f t="shared" si="0"/>
        <v>200</v>
      </c>
      <c r="C65">
        <v>192</v>
      </c>
      <c r="D65" s="119">
        <v>8</v>
      </c>
    </row>
    <row r="66" spans="1:4">
      <c r="A66">
        <v>691870</v>
      </c>
      <c r="B66" s="119">
        <f t="shared" ref="B66:B129" si="1">C66+D66</f>
        <v>214</v>
      </c>
      <c r="C66">
        <v>0</v>
      </c>
      <c r="D66" s="119">
        <v>214</v>
      </c>
    </row>
    <row r="67" spans="1:4">
      <c r="A67">
        <v>692051</v>
      </c>
      <c r="B67" s="119">
        <f t="shared" si="1"/>
        <v>237</v>
      </c>
      <c r="C67">
        <v>0</v>
      </c>
      <c r="D67" s="119">
        <v>237</v>
      </c>
    </row>
    <row r="68" spans="1:4">
      <c r="A68">
        <v>692128</v>
      </c>
      <c r="B68" s="119">
        <f t="shared" si="1"/>
        <v>64</v>
      </c>
      <c r="C68">
        <v>41</v>
      </c>
      <c r="D68" s="119">
        <v>23</v>
      </c>
    </row>
    <row r="69" spans="1:4">
      <c r="A69">
        <v>692171</v>
      </c>
      <c r="B69" s="119">
        <f t="shared" si="1"/>
        <v>102</v>
      </c>
      <c r="C69">
        <v>66</v>
      </c>
      <c r="D69" s="119">
        <v>36</v>
      </c>
    </row>
    <row r="70" spans="1:4">
      <c r="A70">
        <v>789360</v>
      </c>
      <c r="B70" s="119">
        <f t="shared" si="1"/>
        <v>993</v>
      </c>
      <c r="C70">
        <v>375</v>
      </c>
      <c r="D70" s="119">
        <v>618</v>
      </c>
    </row>
    <row r="71" spans="1:4">
      <c r="A71">
        <v>692180</v>
      </c>
      <c r="B71" s="119">
        <f t="shared" si="1"/>
        <v>1</v>
      </c>
      <c r="C71">
        <v>1</v>
      </c>
      <c r="D71" s="119">
        <v>0</v>
      </c>
    </row>
    <row r="72" spans="1:4">
      <c r="A72">
        <v>686031</v>
      </c>
      <c r="B72" s="119">
        <f t="shared" si="1"/>
        <v>119</v>
      </c>
      <c r="C72">
        <v>0</v>
      </c>
      <c r="D72" s="119">
        <v>119</v>
      </c>
    </row>
    <row r="73" spans="1:4">
      <c r="A73">
        <v>692173</v>
      </c>
      <c r="B73" s="119">
        <f t="shared" si="1"/>
        <v>0</v>
      </c>
      <c r="C73">
        <v>0</v>
      </c>
      <c r="D73" s="119">
        <v>0</v>
      </c>
    </row>
    <row r="74" spans="1:4">
      <c r="A74">
        <v>691918</v>
      </c>
      <c r="B74" s="119">
        <f t="shared" si="1"/>
        <v>23</v>
      </c>
      <c r="C74">
        <v>3</v>
      </c>
      <c r="D74" s="119">
        <v>20</v>
      </c>
    </row>
    <row r="75" spans="1:4">
      <c r="A75">
        <v>807562</v>
      </c>
      <c r="B75" s="119">
        <f t="shared" si="1"/>
        <v>0</v>
      </c>
      <c r="C75">
        <v>0</v>
      </c>
      <c r="D75" s="119">
        <v>0</v>
      </c>
    </row>
    <row r="76" spans="1:4">
      <c r="A76">
        <v>692085</v>
      </c>
      <c r="B76" s="119">
        <f t="shared" si="1"/>
        <v>2</v>
      </c>
      <c r="C76">
        <v>0</v>
      </c>
      <c r="D76" s="119">
        <v>2</v>
      </c>
    </row>
    <row r="77" spans="1:4">
      <c r="A77">
        <v>692100</v>
      </c>
      <c r="B77" s="119">
        <f t="shared" si="1"/>
        <v>14</v>
      </c>
      <c r="C77">
        <v>5</v>
      </c>
      <c r="D77" s="119">
        <v>9</v>
      </c>
    </row>
    <row r="78" spans="1:4">
      <c r="A78">
        <v>692099</v>
      </c>
      <c r="B78" s="119">
        <f t="shared" si="1"/>
        <v>0</v>
      </c>
      <c r="C78">
        <v>0</v>
      </c>
      <c r="D78" s="119">
        <v>0</v>
      </c>
    </row>
    <row r="79" spans="1:4">
      <c r="A79">
        <v>692333</v>
      </c>
      <c r="B79" s="119">
        <f t="shared" si="1"/>
        <v>108</v>
      </c>
      <c r="C79">
        <v>74</v>
      </c>
      <c r="D79" s="119">
        <v>34</v>
      </c>
    </row>
    <row r="80" spans="1:4">
      <c r="A80" t="s">
        <v>202</v>
      </c>
      <c r="B80" s="119">
        <f t="shared" si="1"/>
        <v>22</v>
      </c>
      <c r="C80">
        <v>22</v>
      </c>
      <c r="D80" s="119">
        <v>0</v>
      </c>
    </row>
    <row r="81" spans="1:4">
      <c r="A81">
        <v>691849</v>
      </c>
      <c r="B81" s="119">
        <f t="shared" si="1"/>
        <v>1</v>
      </c>
      <c r="C81">
        <v>0</v>
      </c>
      <c r="D81" s="119">
        <v>1</v>
      </c>
    </row>
    <row r="82" spans="1:4">
      <c r="A82" t="s">
        <v>53</v>
      </c>
      <c r="B82" s="119">
        <f t="shared" si="1"/>
        <v>131</v>
      </c>
      <c r="C82">
        <v>122</v>
      </c>
      <c r="D82" s="119">
        <v>9</v>
      </c>
    </row>
    <row r="83" spans="1:4">
      <c r="A83">
        <v>841092</v>
      </c>
      <c r="B83" s="119">
        <f t="shared" si="1"/>
        <v>0</v>
      </c>
      <c r="C83">
        <v>0</v>
      </c>
      <c r="D83" s="119">
        <v>0</v>
      </c>
    </row>
    <row r="84" spans="1:4">
      <c r="A84" t="s">
        <v>203</v>
      </c>
      <c r="B84" s="119">
        <f t="shared" si="1"/>
        <v>0</v>
      </c>
      <c r="C84">
        <v>0</v>
      </c>
      <c r="D84" s="119">
        <v>0</v>
      </c>
    </row>
    <row r="85" spans="1:4">
      <c r="A85">
        <v>804723</v>
      </c>
      <c r="B85" s="119">
        <f t="shared" si="1"/>
        <v>-7.5772721430666934E-15</v>
      </c>
      <c r="C85">
        <v>0</v>
      </c>
      <c r="D85" s="119">
        <v>-7.5772721430666934E-15</v>
      </c>
    </row>
    <row r="86" spans="1:4">
      <c r="A86">
        <v>795005</v>
      </c>
      <c r="B86" s="119">
        <f t="shared" si="1"/>
        <v>1</v>
      </c>
      <c r="C86">
        <v>0</v>
      </c>
      <c r="D86" s="119">
        <v>1</v>
      </c>
    </row>
    <row r="87" spans="1:4">
      <c r="A87">
        <v>841078</v>
      </c>
      <c r="B87" s="119">
        <f t="shared" si="1"/>
        <v>5</v>
      </c>
      <c r="C87">
        <v>5</v>
      </c>
      <c r="D87" s="119">
        <v>0</v>
      </c>
    </row>
    <row r="88" spans="1:4">
      <c r="A88" t="s">
        <v>41</v>
      </c>
      <c r="B88" s="119">
        <f t="shared" si="1"/>
        <v>17</v>
      </c>
      <c r="C88">
        <v>0</v>
      </c>
      <c r="D88" s="119">
        <v>17</v>
      </c>
    </row>
    <row r="89" spans="1:4">
      <c r="A89">
        <v>844573</v>
      </c>
      <c r="B89" s="119">
        <f t="shared" si="1"/>
        <v>6400</v>
      </c>
      <c r="C89">
        <v>5224</v>
      </c>
      <c r="D89" s="119">
        <v>1176</v>
      </c>
    </row>
    <row r="90" spans="1:4">
      <c r="A90" t="s">
        <v>204</v>
      </c>
      <c r="B90" s="119">
        <f t="shared" si="1"/>
        <v>0</v>
      </c>
      <c r="C90">
        <v>0</v>
      </c>
      <c r="D90" s="119">
        <v>0</v>
      </c>
    </row>
    <row r="91" spans="1:4">
      <c r="A91" t="s">
        <v>205</v>
      </c>
      <c r="B91" s="119">
        <f t="shared" si="1"/>
        <v>0</v>
      </c>
      <c r="C91">
        <v>0</v>
      </c>
      <c r="D91" s="119">
        <v>0</v>
      </c>
    </row>
    <row r="92" spans="1:4">
      <c r="A92" t="s">
        <v>206</v>
      </c>
      <c r="B92" s="119">
        <f t="shared" si="1"/>
        <v>0</v>
      </c>
      <c r="C92">
        <v>0</v>
      </c>
      <c r="D92" s="119">
        <v>0</v>
      </c>
    </row>
    <row r="93" spans="1:4">
      <c r="A93" t="s">
        <v>207</v>
      </c>
      <c r="B93" s="119">
        <f t="shared" si="1"/>
        <v>0</v>
      </c>
      <c r="C93">
        <v>0</v>
      </c>
      <c r="D93" s="119">
        <v>0</v>
      </c>
    </row>
    <row r="94" spans="1:4">
      <c r="A94" t="s">
        <v>208</v>
      </c>
      <c r="B94" s="119">
        <f t="shared" si="1"/>
        <v>0</v>
      </c>
      <c r="C94">
        <v>0</v>
      </c>
      <c r="D94" s="119">
        <v>0</v>
      </c>
    </row>
    <row r="95" spans="1:4">
      <c r="A95" t="s">
        <v>209</v>
      </c>
      <c r="B95" s="119">
        <f t="shared" si="1"/>
        <v>0</v>
      </c>
      <c r="C95">
        <v>0</v>
      </c>
      <c r="D95" s="119">
        <v>0</v>
      </c>
    </row>
    <row r="96" spans="1:4">
      <c r="A96" t="s">
        <v>210</v>
      </c>
      <c r="B96" s="119">
        <f t="shared" si="1"/>
        <v>0</v>
      </c>
      <c r="C96">
        <v>0</v>
      </c>
      <c r="D96" s="119">
        <v>0</v>
      </c>
    </row>
    <row r="97" spans="1:4">
      <c r="A97" t="s">
        <v>211</v>
      </c>
      <c r="B97" s="119">
        <f t="shared" si="1"/>
        <v>0</v>
      </c>
      <c r="C97">
        <v>0</v>
      </c>
      <c r="D97" s="119">
        <v>0</v>
      </c>
    </row>
    <row r="98" spans="1:4">
      <c r="A98" t="s">
        <v>212</v>
      </c>
      <c r="B98" s="119">
        <f t="shared" si="1"/>
        <v>0</v>
      </c>
      <c r="C98">
        <v>0</v>
      </c>
      <c r="D98" s="119">
        <v>0</v>
      </c>
    </row>
    <row r="99" spans="1:4">
      <c r="A99" t="s">
        <v>213</v>
      </c>
      <c r="B99" s="119">
        <f t="shared" si="1"/>
        <v>0</v>
      </c>
      <c r="C99">
        <v>0</v>
      </c>
      <c r="D99" s="119">
        <v>0</v>
      </c>
    </row>
    <row r="100" spans="1:4">
      <c r="A100" t="s">
        <v>214</v>
      </c>
      <c r="B100" s="119">
        <f t="shared" si="1"/>
        <v>0</v>
      </c>
      <c r="C100">
        <v>0</v>
      </c>
      <c r="D100" s="119">
        <v>0</v>
      </c>
    </row>
    <row r="101" spans="1:4">
      <c r="A101" t="s">
        <v>170</v>
      </c>
      <c r="B101" s="119">
        <f t="shared" si="1"/>
        <v>86</v>
      </c>
      <c r="C101">
        <v>0</v>
      </c>
      <c r="D101" s="119">
        <v>86</v>
      </c>
    </row>
    <row r="102" spans="1:4">
      <c r="A102" t="s">
        <v>215</v>
      </c>
      <c r="B102" s="119">
        <f t="shared" si="1"/>
        <v>2</v>
      </c>
      <c r="C102">
        <v>0</v>
      </c>
      <c r="D102" s="119">
        <v>2</v>
      </c>
    </row>
    <row r="103" spans="1:4">
      <c r="A103" t="s">
        <v>216</v>
      </c>
      <c r="B103" s="119">
        <f t="shared" si="1"/>
        <v>15</v>
      </c>
      <c r="C103">
        <v>0</v>
      </c>
      <c r="D103" s="119">
        <v>15</v>
      </c>
    </row>
    <row r="104" spans="1:4">
      <c r="A104" t="s">
        <v>217</v>
      </c>
      <c r="B104" s="119">
        <f t="shared" si="1"/>
        <v>3</v>
      </c>
      <c r="C104">
        <v>0</v>
      </c>
      <c r="D104" s="119">
        <v>3</v>
      </c>
    </row>
    <row r="105" spans="1:4">
      <c r="A105" t="s">
        <v>218</v>
      </c>
      <c r="B105" s="119">
        <f t="shared" si="1"/>
        <v>38</v>
      </c>
      <c r="C105">
        <v>0</v>
      </c>
      <c r="D105" s="119">
        <v>38</v>
      </c>
    </row>
    <row r="106" spans="1:4">
      <c r="A106" t="s">
        <v>219</v>
      </c>
      <c r="B106" s="119">
        <f t="shared" si="1"/>
        <v>1</v>
      </c>
      <c r="C106">
        <v>0</v>
      </c>
      <c r="D106" s="119">
        <v>1</v>
      </c>
    </row>
    <row r="107" spans="1:4">
      <c r="A107" t="s">
        <v>220</v>
      </c>
      <c r="B107" s="119">
        <f t="shared" si="1"/>
        <v>1</v>
      </c>
      <c r="C107">
        <v>0</v>
      </c>
      <c r="D107" s="119">
        <v>1</v>
      </c>
    </row>
    <row r="108" spans="1:4">
      <c r="A108" t="s">
        <v>221</v>
      </c>
      <c r="B108" s="119">
        <f t="shared" si="1"/>
        <v>3</v>
      </c>
      <c r="C108">
        <v>0</v>
      </c>
      <c r="D108" s="119">
        <v>3</v>
      </c>
    </row>
    <row r="109" spans="1:4">
      <c r="A109">
        <v>2200052</v>
      </c>
      <c r="B109" s="119">
        <f t="shared" si="1"/>
        <v>2</v>
      </c>
      <c r="C109">
        <v>0</v>
      </c>
      <c r="D109" s="119">
        <v>2</v>
      </c>
    </row>
    <row r="110" spans="1:4">
      <c r="A110">
        <v>2200053</v>
      </c>
      <c r="B110" s="119">
        <f t="shared" si="1"/>
        <v>1</v>
      </c>
      <c r="C110">
        <v>0</v>
      </c>
      <c r="D110" s="119">
        <v>1</v>
      </c>
    </row>
    <row r="111" spans="1:4">
      <c r="A111">
        <v>2200055</v>
      </c>
      <c r="B111" s="119">
        <f t="shared" si="1"/>
        <v>1</v>
      </c>
      <c r="C111">
        <v>0</v>
      </c>
      <c r="D111" s="119">
        <v>1</v>
      </c>
    </row>
    <row r="112" spans="1:4">
      <c r="A112" t="s">
        <v>222</v>
      </c>
      <c r="B112" s="119">
        <f t="shared" si="1"/>
        <v>7</v>
      </c>
      <c r="C112">
        <v>0</v>
      </c>
      <c r="D112" s="119">
        <v>7</v>
      </c>
    </row>
    <row r="113" spans="1:4">
      <c r="A113" t="s">
        <v>223</v>
      </c>
      <c r="B113" s="119">
        <f t="shared" si="1"/>
        <v>1</v>
      </c>
      <c r="C113">
        <v>0</v>
      </c>
      <c r="D113" s="119">
        <v>1</v>
      </c>
    </row>
    <row r="114" spans="1:4">
      <c r="A114" t="s">
        <v>224</v>
      </c>
      <c r="B114" s="119">
        <f t="shared" si="1"/>
        <v>3</v>
      </c>
      <c r="C114">
        <v>0</v>
      </c>
      <c r="D114" s="119">
        <v>3</v>
      </c>
    </row>
    <row r="115" spans="1:4">
      <c r="A115" t="s">
        <v>225</v>
      </c>
      <c r="B115" s="119">
        <f t="shared" si="1"/>
        <v>5</v>
      </c>
      <c r="C115">
        <v>0</v>
      </c>
      <c r="D115" s="119">
        <v>5</v>
      </c>
    </row>
    <row r="116" spans="1:4">
      <c r="A116" t="s">
        <v>226</v>
      </c>
      <c r="B116" s="119">
        <f t="shared" si="1"/>
        <v>5</v>
      </c>
      <c r="C116">
        <v>0</v>
      </c>
      <c r="D116" s="119">
        <v>5</v>
      </c>
    </row>
    <row r="117" spans="1:4">
      <c r="A117" t="s">
        <v>228</v>
      </c>
      <c r="B117" s="119">
        <f t="shared" si="1"/>
        <v>3</v>
      </c>
      <c r="C117">
        <v>2</v>
      </c>
      <c r="D117" s="119">
        <v>1</v>
      </c>
    </row>
    <row r="118" spans="1:4">
      <c r="A118" t="s">
        <v>229</v>
      </c>
      <c r="B118" s="119">
        <f t="shared" si="1"/>
        <v>0</v>
      </c>
      <c r="C118">
        <v>0</v>
      </c>
      <c r="D118" s="119">
        <v>0</v>
      </c>
    </row>
    <row r="119" spans="1:4">
      <c r="A119" t="s">
        <v>230</v>
      </c>
      <c r="B119" s="119">
        <f t="shared" si="1"/>
        <v>0</v>
      </c>
      <c r="C119">
        <v>0</v>
      </c>
      <c r="D119" s="119">
        <v>0</v>
      </c>
    </row>
    <row r="120" spans="1:4">
      <c r="A120" t="s">
        <v>231</v>
      </c>
      <c r="B120" s="119">
        <f t="shared" si="1"/>
        <v>0</v>
      </c>
      <c r="C120">
        <v>0</v>
      </c>
      <c r="D120" s="119">
        <v>0</v>
      </c>
    </row>
    <row r="121" spans="1:4">
      <c r="A121" t="s">
        <v>232</v>
      </c>
      <c r="B121" s="119">
        <f t="shared" si="1"/>
        <v>9</v>
      </c>
      <c r="C121">
        <v>0</v>
      </c>
      <c r="D121" s="119">
        <v>9</v>
      </c>
    </row>
    <row r="122" spans="1:4">
      <c r="A122" t="s">
        <v>233</v>
      </c>
      <c r="B122" s="119">
        <f t="shared" si="1"/>
        <v>14</v>
      </c>
      <c r="C122">
        <v>0</v>
      </c>
      <c r="D122" s="119">
        <v>14</v>
      </c>
    </row>
    <row r="123" spans="1:4">
      <c r="A123" t="s">
        <v>234</v>
      </c>
      <c r="B123" s="119">
        <f t="shared" si="1"/>
        <v>9</v>
      </c>
      <c r="C123">
        <v>2</v>
      </c>
      <c r="D123" s="119">
        <v>7</v>
      </c>
    </row>
    <row r="124" spans="1:4">
      <c r="A124" t="s">
        <v>235</v>
      </c>
      <c r="B124" s="119">
        <f t="shared" si="1"/>
        <v>4</v>
      </c>
      <c r="C124">
        <v>1</v>
      </c>
      <c r="D124" s="119">
        <v>3</v>
      </c>
    </row>
    <row r="125" spans="1:4">
      <c r="A125" t="s">
        <v>236</v>
      </c>
      <c r="B125" s="119">
        <f t="shared" si="1"/>
        <v>2</v>
      </c>
      <c r="C125">
        <v>0</v>
      </c>
      <c r="D125" s="119">
        <v>2</v>
      </c>
    </row>
    <row r="126" spans="1:4">
      <c r="A126" t="s">
        <v>340</v>
      </c>
      <c r="B126" s="119">
        <f t="shared" si="1"/>
        <v>3</v>
      </c>
      <c r="C126">
        <v>0</v>
      </c>
      <c r="D126" s="119">
        <v>3</v>
      </c>
    </row>
    <row r="127" spans="1:4">
      <c r="A127" t="s">
        <v>237</v>
      </c>
      <c r="B127" s="119">
        <f t="shared" si="1"/>
        <v>27</v>
      </c>
      <c r="C127">
        <v>0</v>
      </c>
      <c r="D127" s="119">
        <v>27</v>
      </c>
    </row>
    <row r="128" spans="1:4">
      <c r="A128" t="s">
        <v>238</v>
      </c>
      <c r="B128" s="119">
        <f t="shared" si="1"/>
        <v>23</v>
      </c>
      <c r="C128">
        <v>0</v>
      </c>
      <c r="D128" s="119">
        <v>23</v>
      </c>
    </row>
    <row r="129" spans="1:4">
      <c r="A129" t="s">
        <v>239</v>
      </c>
      <c r="B129" s="119">
        <f t="shared" si="1"/>
        <v>2</v>
      </c>
      <c r="C129">
        <v>0</v>
      </c>
      <c r="D129" s="119">
        <v>2</v>
      </c>
    </row>
    <row r="130" spans="1:4">
      <c r="A130" t="s">
        <v>240</v>
      </c>
      <c r="B130" s="119">
        <f t="shared" ref="B130:B193" si="2">C130+D130</f>
        <v>0</v>
      </c>
      <c r="C130">
        <v>0</v>
      </c>
      <c r="D130" s="119">
        <v>0</v>
      </c>
    </row>
    <row r="131" spans="1:4">
      <c r="A131" t="s">
        <v>241</v>
      </c>
      <c r="B131" s="119">
        <f t="shared" si="2"/>
        <v>1</v>
      </c>
      <c r="C131">
        <v>0</v>
      </c>
      <c r="D131" s="119">
        <v>1</v>
      </c>
    </row>
    <row r="132" spans="1:4">
      <c r="A132" t="s">
        <v>242</v>
      </c>
      <c r="B132" s="119">
        <f t="shared" si="2"/>
        <v>0</v>
      </c>
      <c r="C132">
        <v>0</v>
      </c>
      <c r="D132" s="119">
        <v>0</v>
      </c>
    </row>
    <row r="133" spans="1:4">
      <c r="A133" t="s">
        <v>243</v>
      </c>
      <c r="B133" s="119">
        <f t="shared" si="2"/>
        <v>0</v>
      </c>
      <c r="C133">
        <v>0</v>
      </c>
      <c r="D133" s="119">
        <v>0</v>
      </c>
    </row>
    <row r="134" spans="1:4">
      <c r="A134" t="s">
        <v>244</v>
      </c>
      <c r="B134" s="119">
        <f t="shared" si="2"/>
        <v>2</v>
      </c>
      <c r="C134">
        <v>0</v>
      </c>
      <c r="D134" s="119">
        <v>2</v>
      </c>
    </row>
    <row r="135" spans="1:4">
      <c r="A135" t="s">
        <v>245</v>
      </c>
      <c r="B135" s="119">
        <f t="shared" si="2"/>
        <v>2</v>
      </c>
      <c r="C135">
        <v>0</v>
      </c>
      <c r="D135" s="119">
        <v>2</v>
      </c>
    </row>
    <row r="136" spans="1:4">
      <c r="A136" t="s">
        <v>246</v>
      </c>
      <c r="B136" s="119">
        <f t="shared" si="2"/>
        <v>0</v>
      </c>
      <c r="C136">
        <v>0</v>
      </c>
      <c r="D136" s="119">
        <v>0</v>
      </c>
    </row>
    <row r="137" spans="1:4">
      <c r="A137" t="s">
        <v>247</v>
      </c>
      <c r="B137" s="119">
        <f t="shared" si="2"/>
        <v>0</v>
      </c>
      <c r="C137">
        <v>0</v>
      </c>
      <c r="D137" s="119">
        <v>0</v>
      </c>
    </row>
    <row r="138" spans="1:4">
      <c r="A138" t="s">
        <v>248</v>
      </c>
      <c r="B138" s="119">
        <f t="shared" si="2"/>
        <v>3</v>
      </c>
      <c r="C138">
        <v>0</v>
      </c>
      <c r="D138" s="119">
        <v>3</v>
      </c>
    </row>
    <row r="139" spans="1:4">
      <c r="A139" t="s">
        <v>249</v>
      </c>
      <c r="B139" s="119">
        <f t="shared" si="2"/>
        <v>0</v>
      </c>
      <c r="C139">
        <v>0</v>
      </c>
      <c r="D139" s="119">
        <v>0</v>
      </c>
    </row>
    <row r="140" spans="1:4">
      <c r="A140" t="s">
        <v>250</v>
      </c>
      <c r="B140" s="119">
        <f t="shared" si="2"/>
        <v>1</v>
      </c>
      <c r="C140">
        <v>1</v>
      </c>
      <c r="D140" s="119">
        <v>0</v>
      </c>
    </row>
    <row r="141" spans="1:4">
      <c r="A141" t="s">
        <v>251</v>
      </c>
      <c r="B141" s="119">
        <f t="shared" si="2"/>
        <v>4</v>
      </c>
      <c r="C141">
        <v>0</v>
      </c>
      <c r="D141" s="119">
        <v>4</v>
      </c>
    </row>
    <row r="142" spans="1:4">
      <c r="A142" t="s">
        <v>252</v>
      </c>
      <c r="B142" s="119">
        <f t="shared" si="2"/>
        <v>2</v>
      </c>
      <c r="C142">
        <v>0</v>
      </c>
      <c r="D142" s="119">
        <v>2</v>
      </c>
    </row>
    <row r="143" spans="1:4">
      <c r="A143" t="s">
        <v>253</v>
      </c>
      <c r="B143" s="119">
        <f t="shared" si="2"/>
        <v>1</v>
      </c>
      <c r="C143">
        <v>0</v>
      </c>
      <c r="D143" s="119">
        <v>1</v>
      </c>
    </row>
    <row r="144" spans="1:4">
      <c r="A144" t="s">
        <v>254</v>
      </c>
      <c r="B144" s="119">
        <f t="shared" si="2"/>
        <v>0</v>
      </c>
      <c r="C144">
        <v>0</v>
      </c>
      <c r="D144" s="119">
        <v>0</v>
      </c>
    </row>
    <row r="145" spans="1:4">
      <c r="A145" t="s">
        <v>255</v>
      </c>
      <c r="B145" s="119">
        <f t="shared" si="2"/>
        <v>8</v>
      </c>
      <c r="C145">
        <v>0</v>
      </c>
      <c r="D145" s="119">
        <v>8</v>
      </c>
    </row>
    <row r="146" spans="1:4">
      <c r="A146" t="s">
        <v>256</v>
      </c>
      <c r="B146" s="119">
        <f t="shared" si="2"/>
        <v>5</v>
      </c>
      <c r="C146">
        <v>0</v>
      </c>
      <c r="D146" s="119">
        <v>5</v>
      </c>
    </row>
    <row r="147" spans="1:4">
      <c r="A147" t="s">
        <v>257</v>
      </c>
      <c r="B147" s="119">
        <f t="shared" si="2"/>
        <v>10</v>
      </c>
      <c r="C147">
        <v>0</v>
      </c>
      <c r="D147" s="119">
        <v>10</v>
      </c>
    </row>
    <row r="148" spans="1:4">
      <c r="A148" t="s">
        <v>258</v>
      </c>
      <c r="B148" s="119">
        <f t="shared" si="2"/>
        <v>0</v>
      </c>
      <c r="C148">
        <v>0</v>
      </c>
      <c r="D148" s="119">
        <v>0</v>
      </c>
    </row>
    <row r="149" spans="1:4">
      <c r="A149" t="s">
        <v>259</v>
      </c>
      <c r="B149" s="119">
        <f t="shared" si="2"/>
        <v>1</v>
      </c>
      <c r="C149">
        <v>0</v>
      </c>
      <c r="D149" s="119">
        <v>1</v>
      </c>
    </row>
    <row r="150" spans="1:4">
      <c r="A150" t="s">
        <v>227</v>
      </c>
      <c r="B150" s="119">
        <f t="shared" si="2"/>
        <v>0</v>
      </c>
      <c r="C150">
        <v>0</v>
      </c>
      <c r="D150" s="119">
        <v>0</v>
      </c>
    </row>
    <row r="151" spans="1:4">
      <c r="A151" t="s">
        <v>260</v>
      </c>
      <c r="B151" s="119">
        <f t="shared" si="2"/>
        <v>2</v>
      </c>
      <c r="C151">
        <v>0</v>
      </c>
      <c r="D151" s="119">
        <v>2</v>
      </c>
    </row>
    <row r="152" spans="1:4">
      <c r="A152" t="s">
        <v>261</v>
      </c>
      <c r="B152" s="119">
        <f t="shared" si="2"/>
        <v>7</v>
      </c>
      <c r="C152">
        <v>0</v>
      </c>
      <c r="D152" s="119">
        <v>7</v>
      </c>
    </row>
    <row r="153" spans="1:4">
      <c r="A153" t="s">
        <v>262</v>
      </c>
      <c r="B153" s="119">
        <f t="shared" si="2"/>
        <v>0</v>
      </c>
      <c r="C153">
        <v>0</v>
      </c>
      <c r="D153" s="119">
        <v>0</v>
      </c>
    </row>
    <row r="154" spans="1:4">
      <c r="A154" t="s">
        <v>263</v>
      </c>
      <c r="B154" s="119">
        <f t="shared" si="2"/>
        <v>0</v>
      </c>
      <c r="C154">
        <v>0</v>
      </c>
      <c r="D154" s="119">
        <v>0</v>
      </c>
    </row>
    <row r="155" spans="1:4">
      <c r="A155" t="s">
        <v>264</v>
      </c>
      <c r="B155" s="119">
        <f t="shared" si="2"/>
        <v>2</v>
      </c>
      <c r="C155">
        <v>0</v>
      </c>
      <c r="D155" s="119">
        <v>2</v>
      </c>
    </row>
    <row r="156" spans="1:4">
      <c r="A156" t="s">
        <v>265</v>
      </c>
      <c r="B156" s="119">
        <f t="shared" si="2"/>
        <v>5</v>
      </c>
      <c r="C156">
        <v>0</v>
      </c>
      <c r="D156" s="119">
        <v>5</v>
      </c>
    </row>
    <row r="157" spans="1:4">
      <c r="A157" t="s">
        <v>266</v>
      </c>
      <c r="B157" s="119">
        <f t="shared" si="2"/>
        <v>1</v>
      </c>
      <c r="C157">
        <v>0</v>
      </c>
      <c r="D157" s="119">
        <v>1</v>
      </c>
    </row>
    <row r="158" spans="1:4">
      <c r="A158" t="s">
        <v>267</v>
      </c>
      <c r="B158" s="119">
        <f t="shared" si="2"/>
        <v>12</v>
      </c>
      <c r="C158">
        <v>0</v>
      </c>
      <c r="D158" s="119">
        <v>12</v>
      </c>
    </row>
    <row r="159" spans="1:4">
      <c r="A159" t="s">
        <v>268</v>
      </c>
      <c r="B159" s="119">
        <f t="shared" si="2"/>
        <v>11</v>
      </c>
      <c r="C159">
        <v>0</v>
      </c>
      <c r="D159" s="119">
        <v>11</v>
      </c>
    </row>
    <row r="160" spans="1:4">
      <c r="A160" t="s">
        <v>269</v>
      </c>
      <c r="B160" s="119">
        <f t="shared" si="2"/>
        <v>4</v>
      </c>
      <c r="C160">
        <v>0</v>
      </c>
      <c r="D160" s="119">
        <v>4</v>
      </c>
    </row>
    <row r="161" spans="1:4">
      <c r="A161" t="s">
        <v>270</v>
      </c>
      <c r="B161" s="119">
        <f t="shared" si="2"/>
        <v>1</v>
      </c>
      <c r="C161">
        <v>0</v>
      </c>
      <c r="D161" s="119">
        <v>1</v>
      </c>
    </row>
    <row r="162" spans="1:4">
      <c r="A162" t="s">
        <v>271</v>
      </c>
      <c r="B162" s="119">
        <f t="shared" si="2"/>
        <v>37</v>
      </c>
      <c r="C162">
        <v>1</v>
      </c>
      <c r="D162" s="119">
        <v>36</v>
      </c>
    </row>
    <row r="163" spans="1:4">
      <c r="A163" t="s">
        <v>470</v>
      </c>
      <c r="B163" s="119">
        <f t="shared" si="2"/>
        <v>8</v>
      </c>
      <c r="C163">
        <v>0</v>
      </c>
      <c r="D163" s="119">
        <v>8</v>
      </c>
    </row>
    <row r="164" spans="1:4">
      <c r="A164" t="s">
        <v>316</v>
      </c>
      <c r="B164" s="119">
        <f t="shared" si="2"/>
        <v>1</v>
      </c>
      <c r="C164">
        <v>0</v>
      </c>
      <c r="D164" s="119">
        <v>1</v>
      </c>
    </row>
    <row r="165" spans="1:4">
      <c r="A165" t="s">
        <v>272</v>
      </c>
      <c r="B165" s="119">
        <f t="shared" si="2"/>
        <v>1</v>
      </c>
      <c r="C165">
        <v>0</v>
      </c>
      <c r="D165" s="119">
        <v>1</v>
      </c>
    </row>
    <row r="166" spans="1:4">
      <c r="A166" t="s">
        <v>273</v>
      </c>
      <c r="B166" s="119">
        <f t="shared" si="2"/>
        <v>1</v>
      </c>
      <c r="C166">
        <v>0</v>
      </c>
      <c r="D166" s="119">
        <v>1</v>
      </c>
    </row>
    <row r="167" spans="1:4">
      <c r="A167" t="s">
        <v>274</v>
      </c>
      <c r="B167" s="119">
        <f t="shared" si="2"/>
        <v>1</v>
      </c>
      <c r="C167">
        <v>0</v>
      </c>
      <c r="D167" s="119">
        <v>1</v>
      </c>
    </row>
    <row r="168" spans="1:4">
      <c r="A168" t="s">
        <v>275</v>
      </c>
      <c r="B168" s="119">
        <f t="shared" si="2"/>
        <v>1</v>
      </c>
      <c r="C168">
        <v>0</v>
      </c>
      <c r="D168" s="119">
        <v>1</v>
      </c>
    </row>
    <row r="169" spans="1:4">
      <c r="A169" t="s">
        <v>276</v>
      </c>
      <c r="B169" s="119">
        <f t="shared" si="2"/>
        <v>17</v>
      </c>
      <c r="C169">
        <v>2</v>
      </c>
      <c r="D169" s="119">
        <v>15</v>
      </c>
    </row>
    <row r="170" spans="1:4">
      <c r="A170" t="s">
        <v>277</v>
      </c>
      <c r="B170" s="119">
        <f t="shared" si="2"/>
        <v>13</v>
      </c>
      <c r="C170">
        <v>0</v>
      </c>
      <c r="D170" s="119">
        <v>13</v>
      </c>
    </row>
    <row r="171" spans="1:4">
      <c r="A171" t="s">
        <v>278</v>
      </c>
      <c r="B171" s="119">
        <f t="shared" si="2"/>
        <v>6</v>
      </c>
      <c r="C171">
        <v>0</v>
      </c>
      <c r="D171" s="119">
        <v>6</v>
      </c>
    </row>
    <row r="172" spans="1:4">
      <c r="A172" t="s">
        <v>279</v>
      </c>
      <c r="B172" s="119">
        <f t="shared" si="2"/>
        <v>2</v>
      </c>
      <c r="C172">
        <v>0</v>
      </c>
      <c r="D172" s="119">
        <v>2</v>
      </c>
    </row>
    <row r="173" spans="1:4">
      <c r="A173" t="s">
        <v>280</v>
      </c>
      <c r="B173" s="119">
        <f t="shared" si="2"/>
        <v>2</v>
      </c>
      <c r="C173">
        <v>0</v>
      </c>
      <c r="D173" s="119">
        <v>2</v>
      </c>
    </row>
    <row r="174" spans="1:4">
      <c r="A174" t="s">
        <v>281</v>
      </c>
      <c r="B174" s="119">
        <f t="shared" si="2"/>
        <v>7</v>
      </c>
      <c r="C174">
        <v>0</v>
      </c>
      <c r="D174" s="119">
        <v>7</v>
      </c>
    </row>
    <row r="175" spans="1:4">
      <c r="A175" t="s">
        <v>282</v>
      </c>
      <c r="B175" s="119">
        <f t="shared" si="2"/>
        <v>11</v>
      </c>
      <c r="C175">
        <v>0</v>
      </c>
      <c r="D175" s="119">
        <v>11</v>
      </c>
    </row>
    <row r="176" spans="1:4">
      <c r="A176" t="s">
        <v>283</v>
      </c>
      <c r="B176" s="119">
        <f t="shared" si="2"/>
        <v>2</v>
      </c>
      <c r="C176">
        <v>0</v>
      </c>
      <c r="D176" s="119">
        <v>2</v>
      </c>
    </row>
    <row r="177" spans="1:4">
      <c r="A177" t="s">
        <v>284</v>
      </c>
      <c r="B177" s="119">
        <f t="shared" si="2"/>
        <v>2</v>
      </c>
      <c r="C177">
        <v>0</v>
      </c>
      <c r="D177" s="119">
        <v>2</v>
      </c>
    </row>
    <row r="178" spans="1:4">
      <c r="A178" t="s">
        <v>285</v>
      </c>
      <c r="B178" s="119">
        <f t="shared" si="2"/>
        <v>0</v>
      </c>
      <c r="C178">
        <v>0</v>
      </c>
      <c r="D178" s="119">
        <v>0</v>
      </c>
    </row>
    <row r="179" spans="1:4">
      <c r="A179" t="s">
        <v>286</v>
      </c>
      <c r="B179" s="119">
        <f t="shared" si="2"/>
        <v>0</v>
      </c>
      <c r="C179">
        <v>0</v>
      </c>
      <c r="D179" s="119">
        <v>0</v>
      </c>
    </row>
    <row r="180" spans="1:4">
      <c r="A180" t="s">
        <v>287</v>
      </c>
      <c r="B180" s="119">
        <f t="shared" si="2"/>
        <v>0</v>
      </c>
      <c r="C180">
        <v>0</v>
      </c>
      <c r="D180" s="119">
        <v>0</v>
      </c>
    </row>
    <row r="181" spans="1:4">
      <c r="A181" t="s">
        <v>288</v>
      </c>
      <c r="B181" s="119">
        <f t="shared" si="2"/>
        <v>0</v>
      </c>
      <c r="C181">
        <v>0</v>
      </c>
      <c r="D181" s="119">
        <v>0</v>
      </c>
    </row>
    <row r="182" spans="1:4">
      <c r="A182" t="s">
        <v>289</v>
      </c>
      <c r="B182" s="119">
        <f t="shared" si="2"/>
        <v>2</v>
      </c>
      <c r="C182">
        <v>0</v>
      </c>
      <c r="D182" s="119">
        <v>2</v>
      </c>
    </row>
    <row r="183" spans="1:4">
      <c r="A183" t="s">
        <v>290</v>
      </c>
      <c r="B183" s="119">
        <f t="shared" si="2"/>
        <v>2</v>
      </c>
      <c r="C183">
        <v>0</v>
      </c>
      <c r="D183" s="119">
        <v>2</v>
      </c>
    </row>
    <row r="184" spans="1:4">
      <c r="A184" t="s">
        <v>291</v>
      </c>
      <c r="B184" s="119">
        <f t="shared" si="2"/>
        <v>0</v>
      </c>
      <c r="C184">
        <v>0</v>
      </c>
      <c r="D184" s="119">
        <v>0</v>
      </c>
    </row>
    <row r="185" spans="1:4">
      <c r="A185" t="s">
        <v>292</v>
      </c>
      <c r="B185" s="119">
        <f t="shared" si="2"/>
        <v>2</v>
      </c>
      <c r="C185">
        <v>0</v>
      </c>
      <c r="D185" s="119">
        <v>2</v>
      </c>
    </row>
    <row r="186" spans="1:4">
      <c r="A186" t="s">
        <v>293</v>
      </c>
      <c r="B186" s="119">
        <f t="shared" si="2"/>
        <v>2</v>
      </c>
      <c r="C186">
        <v>0</v>
      </c>
      <c r="D186" s="119">
        <v>2</v>
      </c>
    </row>
    <row r="187" spans="1:4">
      <c r="A187" t="s">
        <v>294</v>
      </c>
      <c r="B187" s="119">
        <f t="shared" si="2"/>
        <v>2</v>
      </c>
      <c r="C187">
        <v>0</v>
      </c>
      <c r="D187" s="119">
        <v>2</v>
      </c>
    </row>
    <row r="188" spans="1:4">
      <c r="A188" t="s">
        <v>295</v>
      </c>
      <c r="B188" s="119">
        <f t="shared" si="2"/>
        <v>0</v>
      </c>
      <c r="C188">
        <v>0</v>
      </c>
      <c r="D188" s="119">
        <v>0</v>
      </c>
    </row>
    <row r="189" spans="1:4">
      <c r="A189" t="s">
        <v>296</v>
      </c>
      <c r="B189" s="119">
        <f t="shared" si="2"/>
        <v>2</v>
      </c>
      <c r="C189">
        <v>0</v>
      </c>
      <c r="D189" s="119">
        <v>2</v>
      </c>
    </row>
    <row r="190" spans="1:4">
      <c r="A190" t="s">
        <v>297</v>
      </c>
      <c r="B190" s="119">
        <f t="shared" si="2"/>
        <v>0</v>
      </c>
      <c r="C190">
        <v>0</v>
      </c>
      <c r="D190" s="119">
        <v>0</v>
      </c>
    </row>
    <row r="191" spans="1:4">
      <c r="A191" t="s">
        <v>298</v>
      </c>
      <c r="B191" s="119">
        <f t="shared" si="2"/>
        <v>0</v>
      </c>
      <c r="C191">
        <v>0</v>
      </c>
      <c r="D191" s="119">
        <v>0</v>
      </c>
    </row>
    <row r="192" spans="1:4">
      <c r="A192" t="s">
        <v>299</v>
      </c>
      <c r="B192" s="119">
        <f t="shared" si="2"/>
        <v>2</v>
      </c>
      <c r="C192">
        <v>0</v>
      </c>
      <c r="D192" s="119">
        <v>2</v>
      </c>
    </row>
    <row r="193" spans="1:4">
      <c r="A193" t="s">
        <v>300</v>
      </c>
      <c r="B193" s="119">
        <f t="shared" si="2"/>
        <v>21</v>
      </c>
      <c r="C193">
        <v>0</v>
      </c>
      <c r="D193" s="119">
        <v>21</v>
      </c>
    </row>
    <row r="194" spans="1:4">
      <c r="A194" t="s">
        <v>301</v>
      </c>
      <c r="B194" s="119">
        <f t="shared" ref="B194:B257" si="3">C194+D194</f>
        <v>0</v>
      </c>
      <c r="C194">
        <v>0</v>
      </c>
      <c r="D194" s="119">
        <v>0</v>
      </c>
    </row>
    <row r="195" spans="1:4">
      <c r="A195" t="s">
        <v>302</v>
      </c>
      <c r="B195" s="119">
        <f t="shared" si="3"/>
        <v>1101</v>
      </c>
      <c r="C195">
        <v>149</v>
      </c>
      <c r="D195" s="119">
        <v>952</v>
      </c>
    </row>
    <row r="196" spans="1:4">
      <c r="A196" t="s">
        <v>303</v>
      </c>
      <c r="B196" s="119">
        <f t="shared" si="3"/>
        <v>0</v>
      </c>
      <c r="C196">
        <v>0</v>
      </c>
      <c r="D196" s="119">
        <v>0</v>
      </c>
    </row>
    <row r="197" spans="1:4">
      <c r="A197" t="s">
        <v>304</v>
      </c>
      <c r="B197" s="119">
        <f t="shared" si="3"/>
        <v>2</v>
      </c>
      <c r="C197">
        <v>0</v>
      </c>
      <c r="D197" s="119">
        <v>2</v>
      </c>
    </row>
    <row r="198" spans="1:4">
      <c r="A198" t="s">
        <v>305</v>
      </c>
      <c r="B198" s="119">
        <f t="shared" si="3"/>
        <v>0</v>
      </c>
      <c r="C198">
        <v>0</v>
      </c>
      <c r="D198" s="119">
        <v>0</v>
      </c>
    </row>
    <row r="199" spans="1:4">
      <c r="A199">
        <v>9912</v>
      </c>
      <c r="B199" s="119">
        <f t="shared" si="3"/>
        <v>0</v>
      </c>
      <c r="C199">
        <v>0</v>
      </c>
      <c r="D199" s="119">
        <v>0</v>
      </c>
    </row>
    <row r="200" spans="1:4">
      <c r="A200">
        <v>9902</v>
      </c>
      <c r="B200" s="119">
        <f t="shared" si="3"/>
        <v>5</v>
      </c>
      <c r="C200">
        <v>0</v>
      </c>
      <c r="D200" s="119">
        <v>5</v>
      </c>
    </row>
    <row r="201" spans="1:4">
      <c r="A201">
        <v>9909</v>
      </c>
      <c r="B201" s="119">
        <f t="shared" si="3"/>
        <v>3</v>
      </c>
      <c r="C201">
        <v>0</v>
      </c>
      <c r="D201" s="119">
        <v>3</v>
      </c>
    </row>
    <row r="202" spans="1:4">
      <c r="A202" t="s">
        <v>306</v>
      </c>
      <c r="B202" s="119">
        <f t="shared" si="3"/>
        <v>0</v>
      </c>
      <c r="C202">
        <v>0</v>
      </c>
      <c r="D202" s="119">
        <v>0</v>
      </c>
    </row>
    <row r="203" spans="1:4">
      <c r="A203">
        <v>4483</v>
      </c>
      <c r="B203" s="119">
        <f t="shared" si="3"/>
        <v>2</v>
      </c>
      <c r="C203">
        <v>0</v>
      </c>
      <c r="D203" s="119">
        <v>2</v>
      </c>
    </row>
    <row r="204" spans="1:4">
      <c r="A204">
        <v>3903</v>
      </c>
      <c r="B204" s="119">
        <f t="shared" si="3"/>
        <v>10</v>
      </c>
      <c r="C204">
        <v>0</v>
      </c>
      <c r="D204" s="119">
        <v>10</v>
      </c>
    </row>
    <row r="205" spans="1:4">
      <c r="A205">
        <v>3832</v>
      </c>
      <c r="B205" s="119">
        <f t="shared" si="3"/>
        <v>44</v>
      </c>
      <c r="C205">
        <v>0</v>
      </c>
      <c r="D205" s="119">
        <v>44</v>
      </c>
    </row>
    <row r="206" spans="1:4">
      <c r="A206">
        <v>3602</v>
      </c>
      <c r="B206" s="119">
        <f t="shared" si="3"/>
        <v>20</v>
      </c>
      <c r="C206">
        <v>0</v>
      </c>
      <c r="D206" s="119">
        <v>20</v>
      </c>
    </row>
    <row r="207" spans="1:4">
      <c r="A207">
        <v>3713</v>
      </c>
      <c r="B207" s="119">
        <f t="shared" si="3"/>
        <v>3</v>
      </c>
      <c r="C207">
        <v>0</v>
      </c>
      <c r="D207" s="119">
        <v>3</v>
      </c>
    </row>
    <row r="208" spans="1:4">
      <c r="A208">
        <v>8201</v>
      </c>
      <c r="B208" s="119">
        <f t="shared" si="3"/>
        <v>137</v>
      </c>
      <c r="C208">
        <v>0</v>
      </c>
      <c r="D208" s="119">
        <v>137</v>
      </c>
    </row>
    <row r="209" spans="1:4">
      <c r="A209">
        <v>4464</v>
      </c>
      <c r="B209" s="119">
        <f t="shared" si="3"/>
        <v>34</v>
      </c>
      <c r="C209">
        <v>0</v>
      </c>
      <c r="D209" s="119">
        <v>34</v>
      </c>
    </row>
    <row r="210" spans="1:4">
      <c r="A210">
        <v>4496</v>
      </c>
      <c r="B210" s="119">
        <f t="shared" si="3"/>
        <v>10</v>
      </c>
      <c r="C210">
        <v>0</v>
      </c>
      <c r="D210" s="119">
        <v>10</v>
      </c>
    </row>
    <row r="211" spans="1:4">
      <c r="A211" t="s">
        <v>309</v>
      </c>
      <c r="B211" s="119">
        <f t="shared" si="3"/>
        <v>1</v>
      </c>
      <c r="C211">
        <v>0</v>
      </c>
      <c r="D211" s="119">
        <v>1</v>
      </c>
    </row>
    <row r="212" spans="1:4">
      <c r="A212" t="s">
        <v>68</v>
      </c>
      <c r="B212" s="119">
        <f t="shared" si="3"/>
        <v>0</v>
      </c>
      <c r="C212">
        <v>0</v>
      </c>
      <c r="D212" s="119">
        <v>0</v>
      </c>
    </row>
    <row r="213" spans="1:4">
      <c r="A213" t="s">
        <v>71</v>
      </c>
      <c r="B213" s="119">
        <f t="shared" si="3"/>
        <v>1874</v>
      </c>
      <c r="C213">
        <v>343</v>
      </c>
      <c r="D213" s="119">
        <v>1531</v>
      </c>
    </row>
    <row r="214" spans="1:4">
      <c r="A214">
        <v>804751</v>
      </c>
      <c r="B214" s="119">
        <f t="shared" si="3"/>
        <v>229</v>
      </c>
      <c r="C214">
        <v>127</v>
      </c>
      <c r="D214" s="119">
        <v>102</v>
      </c>
    </row>
    <row r="215" spans="1:4">
      <c r="A215" t="s">
        <v>76</v>
      </c>
      <c r="B215" s="119">
        <f t="shared" si="3"/>
        <v>0</v>
      </c>
      <c r="C215">
        <v>0</v>
      </c>
      <c r="D215" s="119">
        <v>0</v>
      </c>
    </row>
    <row r="216" spans="1:4">
      <c r="A216" t="s">
        <v>308</v>
      </c>
      <c r="B216" s="119">
        <f t="shared" si="3"/>
        <v>1</v>
      </c>
      <c r="C216">
        <v>0</v>
      </c>
      <c r="D216" s="119">
        <v>1</v>
      </c>
    </row>
    <row r="217" spans="1:4">
      <c r="A217" t="s">
        <v>313</v>
      </c>
      <c r="B217" s="119">
        <f t="shared" si="3"/>
        <v>5</v>
      </c>
      <c r="C217">
        <v>0</v>
      </c>
      <c r="D217" s="119">
        <v>5</v>
      </c>
    </row>
    <row r="218" spans="1:4">
      <c r="A218" t="s">
        <v>90</v>
      </c>
      <c r="B218" s="119">
        <f t="shared" si="3"/>
        <v>207</v>
      </c>
      <c r="C218">
        <v>207</v>
      </c>
      <c r="D218" s="119">
        <v>0</v>
      </c>
    </row>
    <row r="219" spans="1:4">
      <c r="A219" t="s">
        <v>310</v>
      </c>
      <c r="B219" s="119">
        <f t="shared" si="3"/>
        <v>58</v>
      </c>
      <c r="C219">
        <v>0</v>
      </c>
      <c r="D219" s="119">
        <v>58</v>
      </c>
    </row>
    <row r="220" spans="1:4">
      <c r="A220" t="s">
        <v>311</v>
      </c>
      <c r="B220" s="119">
        <f t="shared" si="3"/>
        <v>58</v>
      </c>
      <c r="C220">
        <v>0</v>
      </c>
      <c r="D220" s="119">
        <v>58</v>
      </c>
    </row>
    <row r="221" spans="1:4">
      <c r="A221" t="s">
        <v>312</v>
      </c>
      <c r="B221" s="119">
        <f t="shared" si="3"/>
        <v>0</v>
      </c>
      <c r="C221">
        <v>0</v>
      </c>
      <c r="D221" s="119">
        <v>0</v>
      </c>
    </row>
    <row r="222" spans="1:4">
      <c r="A222" t="s">
        <v>317</v>
      </c>
      <c r="B222" s="119">
        <f t="shared" si="3"/>
        <v>2</v>
      </c>
      <c r="C222">
        <v>0</v>
      </c>
      <c r="D222" s="119">
        <v>2</v>
      </c>
    </row>
    <row r="223" spans="1:4">
      <c r="A223" t="s">
        <v>307</v>
      </c>
      <c r="B223" s="119">
        <f t="shared" si="3"/>
        <v>0</v>
      </c>
      <c r="C223">
        <v>0</v>
      </c>
      <c r="D223" s="119">
        <v>0</v>
      </c>
    </row>
    <row r="224" spans="1:4">
      <c r="A224" t="s">
        <v>318</v>
      </c>
      <c r="B224" s="119">
        <f t="shared" si="3"/>
        <v>0</v>
      </c>
      <c r="C224">
        <v>0</v>
      </c>
      <c r="D224" s="119">
        <v>0</v>
      </c>
    </row>
    <row r="225" spans="1:4">
      <c r="A225" t="s">
        <v>319</v>
      </c>
      <c r="B225" s="119">
        <f t="shared" si="3"/>
        <v>0</v>
      </c>
      <c r="C225">
        <v>0</v>
      </c>
      <c r="D225" s="119">
        <v>0</v>
      </c>
    </row>
    <row r="226" spans="1:4">
      <c r="A226" t="s">
        <v>320</v>
      </c>
      <c r="B226" s="119">
        <f t="shared" si="3"/>
        <v>3</v>
      </c>
      <c r="C226">
        <v>0</v>
      </c>
      <c r="D226" s="119">
        <v>3</v>
      </c>
    </row>
    <row r="227" spans="1:4">
      <c r="A227" t="s">
        <v>321</v>
      </c>
      <c r="B227" s="119">
        <f t="shared" si="3"/>
        <v>0</v>
      </c>
      <c r="C227">
        <v>0</v>
      </c>
      <c r="D227" s="119">
        <v>0</v>
      </c>
    </row>
    <row r="228" spans="1:4">
      <c r="A228" t="s">
        <v>314</v>
      </c>
      <c r="B228" s="119">
        <f t="shared" si="3"/>
        <v>2</v>
      </c>
      <c r="C228">
        <v>0</v>
      </c>
      <c r="D228" s="119">
        <v>2</v>
      </c>
    </row>
    <row r="229" spans="1:4">
      <c r="A229">
        <v>5301000287</v>
      </c>
      <c r="B229" s="119">
        <f t="shared" si="3"/>
        <v>1</v>
      </c>
      <c r="C229">
        <v>0</v>
      </c>
      <c r="D229" s="119">
        <v>1</v>
      </c>
    </row>
    <row r="230" spans="1:4">
      <c r="A230" t="s">
        <v>322</v>
      </c>
      <c r="B230" s="119">
        <f t="shared" si="3"/>
        <v>0</v>
      </c>
      <c r="C230">
        <v>0</v>
      </c>
      <c r="D230" s="119">
        <v>0</v>
      </c>
    </row>
    <row r="231" spans="1:4">
      <c r="A231" t="s">
        <v>323</v>
      </c>
      <c r="B231" s="119">
        <f t="shared" si="3"/>
        <v>0</v>
      </c>
      <c r="C231">
        <v>0</v>
      </c>
      <c r="D231" s="119">
        <v>0</v>
      </c>
    </row>
    <row r="232" spans="1:4">
      <c r="A232" t="s">
        <v>324</v>
      </c>
      <c r="B232" s="119">
        <f t="shared" si="3"/>
        <v>0</v>
      </c>
      <c r="C232">
        <v>0</v>
      </c>
      <c r="D232" s="119">
        <v>0</v>
      </c>
    </row>
    <row r="233" spans="1:4">
      <c r="A233" t="s">
        <v>325</v>
      </c>
      <c r="B233" s="119">
        <f t="shared" si="3"/>
        <v>1</v>
      </c>
      <c r="C233">
        <v>0</v>
      </c>
      <c r="D233" s="119">
        <v>1</v>
      </c>
    </row>
    <row r="234" spans="1:4">
      <c r="A234" t="s">
        <v>326</v>
      </c>
      <c r="B234" s="119">
        <f t="shared" si="3"/>
        <v>1</v>
      </c>
      <c r="C234">
        <v>0</v>
      </c>
      <c r="D234" s="119">
        <v>1</v>
      </c>
    </row>
    <row r="235" spans="1:4">
      <c r="A235" t="s">
        <v>327</v>
      </c>
      <c r="B235" s="119">
        <f t="shared" si="3"/>
        <v>3</v>
      </c>
      <c r="C235">
        <v>0</v>
      </c>
      <c r="D235" s="119">
        <v>3</v>
      </c>
    </row>
    <row r="236" spans="1:4">
      <c r="A236" t="s">
        <v>341</v>
      </c>
      <c r="B236" s="119">
        <f t="shared" si="3"/>
        <v>3</v>
      </c>
      <c r="C236">
        <v>0</v>
      </c>
      <c r="D236" s="119">
        <v>3</v>
      </c>
    </row>
    <row r="237" spans="1:4">
      <c r="A237" t="s">
        <v>342</v>
      </c>
      <c r="B237" s="119">
        <f t="shared" si="3"/>
        <v>2</v>
      </c>
      <c r="C237">
        <v>0</v>
      </c>
      <c r="D237" s="119">
        <v>2</v>
      </c>
    </row>
    <row r="238" spans="1:4">
      <c r="A238" t="s">
        <v>343</v>
      </c>
      <c r="B238" s="119">
        <f t="shared" si="3"/>
        <v>3</v>
      </c>
      <c r="C238">
        <v>0</v>
      </c>
      <c r="D238" s="119">
        <v>3</v>
      </c>
    </row>
    <row r="239" spans="1:4">
      <c r="A239">
        <v>869291</v>
      </c>
      <c r="B239" s="119">
        <f t="shared" si="3"/>
        <v>1</v>
      </c>
      <c r="C239">
        <v>0</v>
      </c>
      <c r="D239" s="119">
        <v>1</v>
      </c>
    </row>
    <row r="240" spans="1:4">
      <c r="A240">
        <v>869553</v>
      </c>
      <c r="B240" s="119">
        <f t="shared" si="3"/>
        <v>0</v>
      </c>
      <c r="C240">
        <v>0</v>
      </c>
      <c r="D240" s="119">
        <v>0</v>
      </c>
    </row>
    <row r="241" spans="1:4">
      <c r="A241">
        <v>773775</v>
      </c>
      <c r="B241" s="119">
        <f t="shared" si="3"/>
        <v>3</v>
      </c>
      <c r="C241">
        <v>3</v>
      </c>
      <c r="D241" s="119">
        <v>0</v>
      </c>
    </row>
    <row r="242" spans="1:4">
      <c r="A242" t="s">
        <v>328</v>
      </c>
      <c r="B242" s="119">
        <f t="shared" si="3"/>
        <v>4</v>
      </c>
      <c r="C242">
        <v>0</v>
      </c>
      <c r="D242" s="119">
        <v>4</v>
      </c>
    </row>
    <row r="243" spans="1:4">
      <c r="A243">
        <v>881118</v>
      </c>
      <c r="B243" s="119">
        <f t="shared" si="3"/>
        <v>-5</v>
      </c>
      <c r="C243">
        <v>0</v>
      </c>
      <c r="D243" s="119">
        <v>-5</v>
      </c>
    </row>
    <row r="244" spans="1:4">
      <c r="A244" t="s">
        <v>315</v>
      </c>
      <c r="B244" s="119">
        <f t="shared" si="3"/>
        <v>3</v>
      </c>
      <c r="C244">
        <v>0</v>
      </c>
      <c r="D244" s="119">
        <v>3</v>
      </c>
    </row>
    <row r="245" spans="1:4">
      <c r="A245" t="s">
        <v>586</v>
      </c>
      <c r="B245" s="119">
        <f t="shared" si="3"/>
        <v>5</v>
      </c>
      <c r="C245">
        <v>0</v>
      </c>
      <c r="D245" s="119">
        <v>5</v>
      </c>
    </row>
    <row r="246" spans="1:4">
      <c r="A246" t="s">
        <v>329</v>
      </c>
      <c r="B246" s="119">
        <f t="shared" si="3"/>
        <v>1</v>
      </c>
      <c r="C246">
        <v>0</v>
      </c>
      <c r="D246" s="119">
        <v>1</v>
      </c>
    </row>
    <row r="247" spans="1:4">
      <c r="A247" t="s">
        <v>330</v>
      </c>
      <c r="B247" s="119">
        <f t="shared" si="3"/>
        <v>2</v>
      </c>
      <c r="C247">
        <v>0</v>
      </c>
      <c r="D247" s="119">
        <v>2</v>
      </c>
    </row>
    <row r="248" spans="1:4">
      <c r="A248" t="s">
        <v>344</v>
      </c>
      <c r="B248" s="119">
        <f t="shared" si="3"/>
        <v>2</v>
      </c>
      <c r="C248">
        <v>0</v>
      </c>
      <c r="D248" s="119">
        <v>2</v>
      </c>
    </row>
    <row r="249" spans="1:4">
      <c r="A249" t="s">
        <v>331</v>
      </c>
      <c r="B249" s="119">
        <f t="shared" si="3"/>
        <v>1</v>
      </c>
      <c r="C249">
        <v>0</v>
      </c>
      <c r="D249" s="119">
        <v>1</v>
      </c>
    </row>
    <row r="250" spans="1:4">
      <c r="A250" t="s">
        <v>332</v>
      </c>
      <c r="B250" s="119">
        <f t="shared" si="3"/>
        <v>1</v>
      </c>
      <c r="C250">
        <v>0</v>
      </c>
      <c r="D250" s="119">
        <v>1</v>
      </c>
    </row>
    <row r="251" spans="1:4">
      <c r="A251">
        <v>877932</v>
      </c>
      <c r="B251" s="119">
        <f t="shared" si="3"/>
        <v>0</v>
      </c>
      <c r="C251">
        <v>0</v>
      </c>
      <c r="D251" s="119">
        <v>0</v>
      </c>
    </row>
    <row r="252" spans="1:4">
      <c r="A252" t="s">
        <v>345</v>
      </c>
      <c r="B252" s="119">
        <f t="shared" si="3"/>
        <v>0</v>
      </c>
      <c r="C252">
        <v>0</v>
      </c>
      <c r="D252" s="119">
        <v>0</v>
      </c>
    </row>
    <row r="253" spans="1:4">
      <c r="A253" t="s">
        <v>346</v>
      </c>
      <c r="B253" s="119">
        <f t="shared" si="3"/>
        <v>1</v>
      </c>
      <c r="C253">
        <v>0</v>
      </c>
      <c r="D253" s="119">
        <v>1</v>
      </c>
    </row>
    <row r="254" spans="1:4">
      <c r="A254" t="s">
        <v>333</v>
      </c>
      <c r="B254" s="119">
        <f t="shared" si="3"/>
        <v>1</v>
      </c>
      <c r="C254">
        <v>0</v>
      </c>
      <c r="D254" s="119">
        <v>1</v>
      </c>
    </row>
    <row r="255" spans="1:4">
      <c r="A255" t="s">
        <v>347</v>
      </c>
      <c r="B255" s="119">
        <f t="shared" si="3"/>
        <v>1</v>
      </c>
      <c r="C255">
        <v>0</v>
      </c>
      <c r="D255" s="119">
        <v>1</v>
      </c>
    </row>
    <row r="256" spans="1:4">
      <c r="A256">
        <v>881119</v>
      </c>
      <c r="B256" s="119">
        <f t="shared" si="3"/>
        <v>1</v>
      </c>
      <c r="C256">
        <v>1</v>
      </c>
      <c r="D256" s="119">
        <v>0</v>
      </c>
    </row>
    <row r="257" spans="1:4">
      <c r="A257" t="s">
        <v>348</v>
      </c>
      <c r="B257" s="119">
        <f t="shared" si="3"/>
        <v>9</v>
      </c>
      <c r="C257">
        <v>0</v>
      </c>
      <c r="D257" s="119">
        <v>9</v>
      </c>
    </row>
    <row r="258" spans="1:4">
      <c r="A258" t="s">
        <v>334</v>
      </c>
      <c r="B258" s="119">
        <f t="shared" ref="B258:B321" si="4">C258+D258</f>
        <v>1</v>
      </c>
      <c r="C258">
        <v>0</v>
      </c>
      <c r="D258" s="119">
        <v>1</v>
      </c>
    </row>
    <row r="259" spans="1:4">
      <c r="A259" t="s">
        <v>335</v>
      </c>
      <c r="B259" s="119">
        <f t="shared" si="4"/>
        <v>0</v>
      </c>
      <c r="C259">
        <v>0</v>
      </c>
      <c r="D259" s="119">
        <v>0</v>
      </c>
    </row>
    <row r="260" spans="1:4">
      <c r="A260" t="s">
        <v>336</v>
      </c>
      <c r="B260" s="119">
        <f t="shared" si="4"/>
        <v>2</v>
      </c>
      <c r="C260">
        <v>0</v>
      </c>
      <c r="D260" s="119">
        <v>2</v>
      </c>
    </row>
    <row r="261" spans="1:4">
      <c r="A261" t="s">
        <v>337</v>
      </c>
      <c r="B261" s="119">
        <f t="shared" si="4"/>
        <v>1</v>
      </c>
      <c r="C261">
        <v>0</v>
      </c>
      <c r="D261" s="119">
        <v>1</v>
      </c>
    </row>
    <row r="262" spans="1:4">
      <c r="A262" t="s">
        <v>338</v>
      </c>
      <c r="B262" s="119">
        <f t="shared" si="4"/>
        <v>1</v>
      </c>
      <c r="C262">
        <v>0</v>
      </c>
      <c r="D262" s="119">
        <v>1</v>
      </c>
    </row>
    <row r="263" spans="1:4">
      <c r="A263">
        <v>880912</v>
      </c>
      <c r="B263" s="119">
        <f t="shared" si="4"/>
        <v>0</v>
      </c>
      <c r="C263">
        <v>0</v>
      </c>
      <c r="D263" s="119">
        <v>0</v>
      </c>
    </row>
    <row r="264" spans="1:4">
      <c r="A264">
        <v>880946</v>
      </c>
      <c r="B264" s="119">
        <f t="shared" si="4"/>
        <v>0</v>
      </c>
      <c r="C264">
        <v>0</v>
      </c>
      <c r="D264" s="119">
        <v>0</v>
      </c>
    </row>
    <row r="265" spans="1:4">
      <c r="A265">
        <v>874946</v>
      </c>
      <c r="B265" s="119">
        <f t="shared" si="4"/>
        <v>0</v>
      </c>
      <c r="C265">
        <v>0</v>
      </c>
      <c r="D265" s="119">
        <v>0</v>
      </c>
    </row>
    <row r="266" spans="1:4">
      <c r="A266" t="s">
        <v>349</v>
      </c>
      <c r="B266" s="119">
        <f t="shared" si="4"/>
        <v>0</v>
      </c>
      <c r="C266">
        <v>0</v>
      </c>
      <c r="D266" s="119">
        <v>0</v>
      </c>
    </row>
    <row r="267" spans="1:4">
      <c r="A267" t="s">
        <v>339</v>
      </c>
      <c r="B267" s="119">
        <f t="shared" si="4"/>
        <v>3.7777777777777715</v>
      </c>
      <c r="C267">
        <v>3</v>
      </c>
      <c r="D267" s="119">
        <v>0.77777777777777146</v>
      </c>
    </row>
    <row r="268" spans="1:4">
      <c r="A268">
        <v>885120</v>
      </c>
      <c r="B268" s="119">
        <f t="shared" si="4"/>
        <v>39</v>
      </c>
      <c r="C268">
        <v>24</v>
      </c>
      <c r="D268" s="119">
        <v>15</v>
      </c>
    </row>
    <row r="269" spans="1:4">
      <c r="A269">
        <v>885194</v>
      </c>
      <c r="B269" s="119">
        <f t="shared" si="4"/>
        <v>8</v>
      </c>
      <c r="C269">
        <v>8</v>
      </c>
      <c r="D269" s="119">
        <v>0</v>
      </c>
    </row>
    <row r="270" spans="1:4">
      <c r="A270">
        <v>874950</v>
      </c>
      <c r="B270" s="119">
        <f t="shared" si="4"/>
        <v>0</v>
      </c>
      <c r="C270">
        <v>0</v>
      </c>
      <c r="D270" s="119">
        <v>0</v>
      </c>
    </row>
    <row r="271" spans="1:4">
      <c r="A271">
        <v>803820</v>
      </c>
      <c r="B271" s="119">
        <f t="shared" si="4"/>
        <v>0</v>
      </c>
      <c r="C271">
        <v>0</v>
      </c>
      <c r="D271" s="119">
        <v>0</v>
      </c>
    </row>
    <row r="272" spans="1:4">
      <c r="A272">
        <v>881285</v>
      </c>
      <c r="B272" s="119">
        <f t="shared" si="4"/>
        <v>17</v>
      </c>
      <c r="C272">
        <v>7</v>
      </c>
      <c r="D272" s="119">
        <v>10</v>
      </c>
    </row>
    <row r="273" spans="1:4">
      <c r="A273" t="s">
        <v>378</v>
      </c>
      <c r="B273" s="119">
        <f t="shared" si="4"/>
        <v>12</v>
      </c>
      <c r="C273">
        <v>0</v>
      </c>
      <c r="D273" s="119">
        <v>12</v>
      </c>
    </row>
    <row r="274" spans="1:4">
      <c r="A274" t="s">
        <v>383</v>
      </c>
      <c r="B274" s="119">
        <f t="shared" si="4"/>
        <v>0</v>
      </c>
      <c r="C274">
        <v>0</v>
      </c>
      <c r="D274" s="119">
        <v>0</v>
      </c>
    </row>
    <row r="275" spans="1:4">
      <c r="A275" t="s">
        <v>393</v>
      </c>
      <c r="B275" s="119">
        <f t="shared" si="4"/>
        <v>0</v>
      </c>
      <c r="C275">
        <v>0</v>
      </c>
      <c r="D275" s="119">
        <v>0</v>
      </c>
    </row>
    <row r="276" spans="1:4">
      <c r="A276" t="s">
        <v>394</v>
      </c>
      <c r="B276" s="119">
        <f t="shared" si="4"/>
        <v>0</v>
      </c>
      <c r="C276">
        <v>0</v>
      </c>
      <c r="D276" s="119">
        <v>0</v>
      </c>
    </row>
    <row r="277" spans="1:4">
      <c r="A277" t="s">
        <v>395</v>
      </c>
      <c r="B277" s="119">
        <f t="shared" si="4"/>
        <v>0</v>
      </c>
      <c r="C277">
        <v>0</v>
      </c>
      <c r="D277" s="119">
        <v>0</v>
      </c>
    </row>
    <row r="278" spans="1:4">
      <c r="A278">
        <v>26560163</v>
      </c>
      <c r="B278" s="119">
        <f t="shared" si="4"/>
        <v>1</v>
      </c>
      <c r="C278">
        <v>1</v>
      </c>
      <c r="D278" s="119">
        <v>0</v>
      </c>
    </row>
    <row r="279" spans="1:4">
      <c r="A279" t="s">
        <v>390</v>
      </c>
      <c r="B279" s="119">
        <f t="shared" si="4"/>
        <v>0</v>
      </c>
      <c r="C279">
        <v>0</v>
      </c>
      <c r="D279" s="119">
        <v>0</v>
      </c>
    </row>
    <row r="280" spans="1:4">
      <c r="A280">
        <v>881568</v>
      </c>
      <c r="B280" s="119">
        <f t="shared" si="4"/>
        <v>0</v>
      </c>
      <c r="C280">
        <v>0</v>
      </c>
      <c r="D280" s="119">
        <v>0</v>
      </c>
    </row>
    <row r="281" spans="1:4">
      <c r="A281">
        <v>550001</v>
      </c>
      <c r="B281" s="119">
        <f t="shared" si="4"/>
        <v>0</v>
      </c>
      <c r="C281">
        <v>0</v>
      </c>
      <c r="D281" s="119">
        <v>0</v>
      </c>
    </row>
    <row r="282" spans="1:4">
      <c r="A282">
        <v>450001</v>
      </c>
      <c r="B282" s="119">
        <f t="shared" si="4"/>
        <v>0</v>
      </c>
      <c r="C282">
        <v>0</v>
      </c>
      <c r="D282" s="119">
        <v>0</v>
      </c>
    </row>
    <row r="283" spans="1:4">
      <c r="A283">
        <v>450012</v>
      </c>
      <c r="B283" s="119">
        <f t="shared" si="4"/>
        <v>62</v>
      </c>
      <c r="C283">
        <v>57</v>
      </c>
      <c r="D283" s="119">
        <v>5</v>
      </c>
    </row>
    <row r="284" spans="1:4">
      <c r="A284">
        <v>450013</v>
      </c>
      <c r="B284" s="119">
        <f t="shared" si="4"/>
        <v>2999</v>
      </c>
      <c r="C284">
        <v>816</v>
      </c>
      <c r="D284" s="119">
        <v>2183</v>
      </c>
    </row>
    <row r="285" spans="1:4">
      <c r="A285">
        <v>887715</v>
      </c>
      <c r="B285" s="119">
        <f t="shared" si="4"/>
        <v>18</v>
      </c>
      <c r="C285">
        <v>14</v>
      </c>
      <c r="D285" s="119">
        <v>4</v>
      </c>
    </row>
    <row r="286" spans="1:4">
      <c r="A286">
        <v>887517</v>
      </c>
      <c r="B286" s="119">
        <f t="shared" si="4"/>
        <v>81</v>
      </c>
      <c r="C286">
        <v>57</v>
      </c>
      <c r="D286" s="119">
        <v>24</v>
      </c>
    </row>
    <row r="287" spans="1:4">
      <c r="A287">
        <v>150035</v>
      </c>
      <c r="B287" s="119">
        <f t="shared" si="4"/>
        <v>7</v>
      </c>
      <c r="C287">
        <v>3</v>
      </c>
      <c r="D287" s="119">
        <v>4</v>
      </c>
    </row>
    <row r="288" spans="1:4">
      <c r="A288" t="s">
        <v>414</v>
      </c>
      <c r="B288" s="119">
        <f t="shared" si="4"/>
        <v>0</v>
      </c>
      <c r="C288">
        <v>0</v>
      </c>
      <c r="D288" s="119">
        <v>0</v>
      </c>
    </row>
    <row r="289" spans="1:4">
      <c r="A289" t="s">
        <v>415</v>
      </c>
      <c r="B289" s="119">
        <f t="shared" si="4"/>
        <v>0</v>
      </c>
      <c r="C289">
        <v>0</v>
      </c>
      <c r="D289" s="119">
        <v>0</v>
      </c>
    </row>
    <row r="290" spans="1:4">
      <c r="A290" t="s">
        <v>416</v>
      </c>
      <c r="B290" s="119">
        <f t="shared" si="4"/>
        <v>0</v>
      </c>
      <c r="C290">
        <v>0</v>
      </c>
      <c r="D290" s="119">
        <v>0</v>
      </c>
    </row>
    <row r="291" spans="1:4">
      <c r="A291" t="s">
        <v>429</v>
      </c>
      <c r="B291" s="119">
        <f t="shared" si="4"/>
        <v>6536</v>
      </c>
      <c r="C291">
        <v>2050</v>
      </c>
      <c r="D291" s="119">
        <v>4486</v>
      </c>
    </row>
    <row r="292" spans="1:4">
      <c r="A292" t="s">
        <v>430</v>
      </c>
      <c r="B292" s="119">
        <f t="shared" si="4"/>
        <v>69</v>
      </c>
      <c r="C292">
        <v>68</v>
      </c>
      <c r="D292" s="119">
        <v>1</v>
      </c>
    </row>
    <row r="293" spans="1:4">
      <c r="A293" t="s">
        <v>431</v>
      </c>
      <c r="B293" s="119">
        <f t="shared" si="4"/>
        <v>63</v>
      </c>
      <c r="C293">
        <v>53</v>
      </c>
      <c r="D293" s="119">
        <v>10</v>
      </c>
    </row>
    <row r="294" spans="1:4">
      <c r="A294" t="s">
        <v>432</v>
      </c>
      <c r="B294" s="119">
        <f t="shared" si="4"/>
        <v>888</v>
      </c>
      <c r="C294">
        <v>253</v>
      </c>
      <c r="D294" s="119">
        <v>635</v>
      </c>
    </row>
    <row r="295" spans="1:4">
      <c r="A295" t="s">
        <v>433</v>
      </c>
      <c r="B295" s="119">
        <f t="shared" si="4"/>
        <v>5</v>
      </c>
      <c r="C295">
        <v>4</v>
      </c>
      <c r="D295" s="119">
        <v>1</v>
      </c>
    </row>
    <row r="296" spans="1:4">
      <c r="A296" t="s">
        <v>434</v>
      </c>
      <c r="B296" s="119">
        <f t="shared" si="4"/>
        <v>18</v>
      </c>
      <c r="C296">
        <v>3</v>
      </c>
      <c r="D296" s="119">
        <v>15</v>
      </c>
    </row>
    <row r="297" spans="1:4">
      <c r="A297" t="s">
        <v>435</v>
      </c>
      <c r="B297" s="119">
        <f t="shared" si="4"/>
        <v>34</v>
      </c>
      <c r="C297">
        <v>16</v>
      </c>
      <c r="D297" s="119">
        <v>18</v>
      </c>
    </row>
    <row r="298" spans="1:4">
      <c r="A298" t="s">
        <v>436</v>
      </c>
      <c r="B298" s="119">
        <f t="shared" si="4"/>
        <v>0</v>
      </c>
      <c r="C298">
        <v>0</v>
      </c>
      <c r="D298" s="119">
        <v>0</v>
      </c>
    </row>
    <row r="299" spans="1:4">
      <c r="A299" t="s">
        <v>437</v>
      </c>
      <c r="B299" s="119">
        <f t="shared" si="4"/>
        <v>2</v>
      </c>
      <c r="C299">
        <v>2</v>
      </c>
      <c r="D299" s="119">
        <v>0</v>
      </c>
    </row>
    <row r="300" spans="1:4">
      <c r="A300" t="s">
        <v>438</v>
      </c>
      <c r="B300" s="119">
        <f t="shared" si="4"/>
        <v>8</v>
      </c>
      <c r="C300">
        <v>8</v>
      </c>
      <c r="D300" s="119">
        <v>0</v>
      </c>
    </row>
    <row r="301" spans="1:4">
      <c r="A301">
        <v>450016</v>
      </c>
      <c r="B301" s="119">
        <f t="shared" si="4"/>
        <v>0</v>
      </c>
      <c r="C301">
        <v>0</v>
      </c>
      <c r="D301" s="119">
        <v>0</v>
      </c>
    </row>
    <row r="302" spans="1:4">
      <c r="A302" t="s">
        <v>440</v>
      </c>
      <c r="B302" s="119">
        <f t="shared" si="4"/>
        <v>6</v>
      </c>
      <c r="C302">
        <v>6</v>
      </c>
      <c r="D302" s="119">
        <v>0</v>
      </c>
    </row>
    <row r="303" spans="1:4">
      <c r="A303" t="s">
        <v>441</v>
      </c>
      <c r="B303" s="119">
        <f t="shared" si="4"/>
        <v>0</v>
      </c>
      <c r="C303">
        <v>0</v>
      </c>
      <c r="D303" s="119">
        <v>0</v>
      </c>
    </row>
    <row r="304" spans="1:4">
      <c r="A304" t="s">
        <v>442</v>
      </c>
      <c r="B304" s="119">
        <f t="shared" si="4"/>
        <v>2.2222222222224586E-3</v>
      </c>
      <c r="C304">
        <v>0</v>
      </c>
      <c r="D304" s="119">
        <v>2.2222222222224586E-3</v>
      </c>
    </row>
    <row r="305" spans="1:4">
      <c r="A305" t="s">
        <v>443</v>
      </c>
      <c r="B305" s="119">
        <f t="shared" si="4"/>
        <v>0</v>
      </c>
      <c r="C305">
        <v>0</v>
      </c>
      <c r="D305" s="119">
        <v>0</v>
      </c>
    </row>
    <row r="306" spans="1:4">
      <c r="A306" t="s">
        <v>444</v>
      </c>
      <c r="B306" s="119">
        <f t="shared" si="4"/>
        <v>0</v>
      </c>
      <c r="C306">
        <v>0</v>
      </c>
      <c r="D306" s="119">
        <v>0</v>
      </c>
    </row>
    <row r="307" spans="1:4">
      <c r="A307" t="s">
        <v>445</v>
      </c>
      <c r="B307" s="119">
        <f t="shared" si="4"/>
        <v>0</v>
      </c>
      <c r="C307">
        <v>0</v>
      </c>
      <c r="D307" s="119">
        <v>0</v>
      </c>
    </row>
    <row r="308" spans="1:4">
      <c r="A308" t="s">
        <v>446</v>
      </c>
      <c r="B308" s="119">
        <f t="shared" si="4"/>
        <v>0</v>
      </c>
      <c r="C308">
        <v>0</v>
      </c>
      <c r="D308" s="119">
        <v>0</v>
      </c>
    </row>
    <row r="309" spans="1:4">
      <c r="A309" t="s">
        <v>447</v>
      </c>
      <c r="B309" s="119">
        <f t="shared" si="4"/>
        <v>0</v>
      </c>
      <c r="C309">
        <v>0</v>
      </c>
      <c r="D309" s="119">
        <v>0</v>
      </c>
    </row>
    <row r="310" spans="1:4">
      <c r="A310">
        <v>869084</v>
      </c>
      <c r="B310" s="119">
        <f t="shared" si="4"/>
        <v>1097</v>
      </c>
      <c r="C310">
        <v>386</v>
      </c>
      <c r="D310" s="119">
        <v>711</v>
      </c>
    </row>
    <row r="311" spans="1:4">
      <c r="A311" t="s">
        <v>452</v>
      </c>
      <c r="B311" s="119">
        <f t="shared" si="4"/>
        <v>1160</v>
      </c>
      <c r="C311">
        <v>630</v>
      </c>
      <c r="D311" s="119">
        <v>530</v>
      </c>
    </row>
    <row r="312" spans="1:4">
      <c r="A312" t="s">
        <v>453</v>
      </c>
      <c r="B312" s="119">
        <f t="shared" si="4"/>
        <v>108</v>
      </c>
      <c r="C312">
        <v>63</v>
      </c>
      <c r="D312" s="119">
        <v>45</v>
      </c>
    </row>
    <row r="313" spans="1:4">
      <c r="A313" t="s">
        <v>454</v>
      </c>
      <c r="B313" s="119">
        <f t="shared" si="4"/>
        <v>69</v>
      </c>
      <c r="C313">
        <v>60</v>
      </c>
      <c r="D313" s="119">
        <v>9</v>
      </c>
    </row>
    <row r="314" spans="1:4">
      <c r="A314" t="s">
        <v>455</v>
      </c>
      <c r="B314" s="119">
        <f t="shared" si="4"/>
        <v>148</v>
      </c>
      <c r="C314">
        <v>144</v>
      </c>
      <c r="D314" s="119">
        <v>4</v>
      </c>
    </row>
    <row r="315" spans="1:4">
      <c r="A315" t="s">
        <v>456</v>
      </c>
      <c r="B315" s="119">
        <f t="shared" si="4"/>
        <v>1</v>
      </c>
      <c r="C315">
        <v>0</v>
      </c>
      <c r="D315" s="119">
        <v>1</v>
      </c>
    </row>
    <row r="316" spans="1:4">
      <c r="A316" t="s">
        <v>457</v>
      </c>
      <c r="B316" s="119">
        <f t="shared" si="4"/>
        <v>0</v>
      </c>
      <c r="C316">
        <v>0</v>
      </c>
      <c r="D316" s="119">
        <v>0</v>
      </c>
    </row>
    <row r="317" spans="1:4">
      <c r="A317" t="s">
        <v>458</v>
      </c>
      <c r="B317" s="119">
        <f t="shared" si="4"/>
        <v>0</v>
      </c>
      <c r="C317">
        <v>0</v>
      </c>
      <c r="D317" s="119">
        <v>0</v>
      </c>
    </row>
    <row r="318" spans="1:4">
      <c r="A318" t="s">
        <v>459</v>
      </c>
      <c r="B318" s="119">
        <f t="shared" si="4"/>
        <v>1</v>
      </c>
      <c r="C318">
        <v>0</v>
      </c>
      <c r="D318" s="119">
        <v>1</v>
      </c>
    </row>
    <row r="319" spans="1:4">
      <c r="A319">
        <v>887716</v>
      </c>
      <c r="B319" s="119">
        <f t="shared" si="4"/>
        <v>434</v>
      </c>
      <c r="C319">
        <v>239</v>
      </c>
      <c r="D319" s="119">
        <v>195</v>
      </c>
    </row>
    <row r="320" spans="1:4">
      <c r="A320" t="s">
        <v>460</v>
      </c>
      <c r="B320" s="119">
        <f t="shared" si="4"/>
        <v>0</v>
      </c>
      <c r="C320">
        <v>0</v>
      </c>
      <c r="D320" s="119">
        <v>0</v>
      </c>
    </row>
    <row r="321" spans="1:4">
      <c r="A321">
        <v>888811</v>
      </c>
      <c r="B321" s="119">
        <f t="shared" si="4"/>
        <v>37</v>
      </c>
      <c r="C321">
        <v>30</v>
      </c>
      <c r="D321" s="119">
        <v>7</v>
      </c>
    </row>
    <row r="322" spans="1:4">
      <c r="A322">
        <v>888770</v>
      </c>
      <c r="B322" s="119">
        <f t="shared" ref="B322:B385" si="5">C322+D322</f>
        <v>87</v>
      </c>
      <c r="C322">
        <v>83</v>
      </c>
      <c r="D322" s="119">
        <v>4</v>
      </c>
    </row>
    <row r="323" spans="1:4">
      <c r="A323" t="s">
        <v>476</v>
      </c>
      <c r="B323" s="119">
        <f t="shared" si="5"/>
        <v>1</v>
      </c>
      <c r="C323">
        <v>0</v>
      </c>
      <c r="D323" s="119">
        <v>1</v>
      </c>
    </row>
    <row r="324" spans="1:4">
      <c r="A324" t="s">
        <v>477</v>
      </c>
      <c r="B324" s="119">
        <f t="shared" si="5"/>
        <v>25</v>
      </c>
      <c r="C324">
        <v>25</v>
      </c>
      <c r="D324" s="119">
        <v>0</v>
      </c>
    </row>
    <row r="325" spans="1:4">
      <c r="A325" t="s">
        <v>478</v>
      </c>
      <c r="B325" s="119">
        <f t="shared" si="5"/>
        <v>33</v>
      </c>
      <c r="C325">
        <v>33</v>
      </c>
      <c r="D325" s="119">
        <v>0</v>
      </c>
    </row>
    <row r="326" spans="1:4">
      <c r="A326" t="s">
        <v>479</v>
      </c>
      <c r="B326" s="119">
        <f t="shared" si="5"/>
        <v>2571</v>
      </c>
      <c r="C326">
        <v>268</v>
      </c>
      <c r="D326" s="119">
        <v>2303</v>
      </c>
    </row>
    <row r="327" spans="1:4">
      <c r="A327" t="s">
        <v>480</v>
      </c>
      <c r="B327" s="119">
        <f t="shared" si="5"/>
        <v>242</v>
      </c>
      <c r="C327">
        <v>242</v>
      </c>
      <c r="D327" s="119">
        <v>0</v>
      </c>
    </row>
    <row r="328" spans="1:4">
      <c r="A328" t="s">
        <v>481</v>
      </c>
      <c r="B328" s="119">
        <f t="shared" si="5"/>
        <v>2910</v>
      </c>
      <c r="C328">
        <v>389</v>
      </c>
      <c r="D328" s="119">
        <v>2521</v>
      </c>
    </row>
    <row r="329" spans="1:4">
      <c r="A329" t="s">
        <v>482</v>
      </c>
      <c r="B329" s="119">
        <f t="shared" si="5"/>
        <v>8</v>
      </c>
      <c r="C329">
        <v>7</v>
      </c>
      <c r="D329" s="119">
        <v>1</v>
      </c>
    </row>
    <row r="330" spans="1:4">
      <c r="A330" t="s">
        <v>483</v>
      </c>
      <c r="B330" s="119">
        <f t="shared" si="5"/>
        <v>0</v>
      </c>
      <c r="C330">
        <v>0</v>
      </c>
      <c r="D330" s="119">
        <v>0</v>
      </c>
    </row>
    <row r="331" spans="1:4">
      <c r="A331" t="s">
        <v>484</v>
      </c>
      <c r="B331" s="119">
        <f t="shared" si="5"/>
        <v>0</v>
      </c>
      <c r="C331">
        <v>0</v>
      </c>
      <c r="D331" s="119">
        <v>0</v>
      </c>
    </row>
    <row r="332" spans="1:4">
      <c r="A332" t="s">
        <v>485</v>
      </c>
      <c r="B332" s="119">
        <f t="shared" si="5"/>
        <v>21</v>
      </c>
      <c r="C332">
        <v>13</v>
      </c>
      <c r="D332" s="119">
        <v>8</v>
      </c>
    </row>
    <row r="333" spans="1:4">
      <c r="A333" t="s">
        <v>486</v>
      </c>
      <c r="B333" s="119">
        <f t="shared" si="5"/>
        <v>36</v>
      </c>
      <c r="C333">
        <v>12</v>
      </c>
      <c r="D333" s="119">
        <v>24</v>
      </c>
    </row>
    <row r="334" spans="1:4">
      <c r="A334" t="s">
        <v>487</v>
      </c>
      <c r="B334" s="119">
        <f t="shared" si="5"/>
        <v>20</v>
      </c>
      <c r="C334">
        <v>19</v>
      </c>
      <c r="D334" s="119">
        <v>1</v>
      </c>
    </row>
    <row r="335" spans="1:4">
      <c r="A335" t="s">
        <v>488</v>
      </c>
      <c r="B335" s="119">
        <f t="shared" si="5"/>
        <v>98</v>
      </c>
      <c r="C335">
        <v>69</v>
      </c>
      <c r="D335" s="119">
        <v>29</v>
      </c>
    </row>
    <row r="336" spans="1:4">
      <c r="A336" t="s">
        <v>489</v>
      </c>
      <c r="B336" s="119">
        <f t="shared" si="5"/>
        <v>945</v>
      </c>
      <c r="C336">
        <v>49</v>
      </c>
      <c r="D336" s="119">
        <v>896</v>
      </c>
    </row>
    <row r="337" spans="1:4">
      <c r="A337" t="s">
        <v>490</v>
      </c>
      <c r="B337" s="119">
        <f t="shared" si="5"/>
        <v>0</v>
      </c>
      <c r="C337">
        <v>0</v>
      </c>
      <c r="D337" s="119">
        <v>0</v>
      </c>
    </row>
    <row r="338" spans="1:4">
      <c r="A338" t="s">
        <v>491</v>
      </c>
      <c r="B338" s="119">
        <f t="shared" si="5"/>
        <v>0</v>
      </c>
      <c r="C338">
        <v>0</v>
      </c>
      <c r="D338" s="119">
        <v>0</v>
      </c>
    </row>
    <row r="339" spans="1:4">
      <c r="A339" t="s">
        <v>492</v>
      </c>
      <c r="B339" s="119">
        <f t="shared" si="5"/>
        <v>56</v>
      </c>
      <c r="C339">
        <v>56</v>
      </c>
      <c r="D339" s="119">
        <v>0</v>
      </c>
    </row>
    <row r="340" spans="1:4">
      <c r="A340" t="s">
        <v>493</v>
      </c>
      <c r="B340" s="119">
        <f t="shared" si="5"/>
        <v>42</v>
      </c>
      <c r="C340">
        <v>42</v>
      </c>
      <c r="D340" s="119">
        <v>0</v>
      </c>
    </row>
    <row r="341" spans="1:4">
      <c r="A341">
        <v>846438</v>
      </c>
      <c r="B341" s="119">
        <f t="shared" si="5"/>
        <v>0</v>
      </c>
      <c r="C341">
        <v>0</v>
      </c>
      <c r="D341" s="119">
        <v>0</v>
      </c>
    </row>
    <row r="342" spans="1:4">
      <c r="A342" t="s">
        <v>499</v>
      </c>
      <c r="B342" s="119">
        <f t="shared" si="5"/>
        <v>52.8</v>
      </c>
      <c r="C342">
        <v>21.799999999999997</v>
      </c>
      <c r="D342" s="119">
        <v>31</v>
      </c>
    </row>
    <row r="343" spans="1:4">
      <c r="A343" t="s">
        <v>500</v>
      </c>
      <c r="B343" s="119">
        <f t="shared" si="5"/>
        <v>0</v>
      </c>
      <c r="C343">
        <v>0</v>
      </c>
      <c r="D343" s="119">
        <v>0</v>
      </c>
    </row>
    <row r="344" spans="1:4">
      <c r="A344" t="s">
        <v>501</v>
      </c>
      <c r="B344" s="119">
        <f t="shared" si="5"/>
        <v>119</v>
      </c>
      <c r="C344">
        <v>16</v>
      </c>
      <c r="D344" s="119">
        <v>103</v>
      </c>
    </row>
    <row r="345" spans="1:4">
      <c r="A345" t="s">
        <v>510</v>
      </c>
      <c r="B345" s="119">
        <f t="shared" si="5"/>
        <v>72</v>
      </c>
      <c r="C345">
        <v>0</v>
      </c>
      <c r="D345" s="119">
        <v>72</v>
      </c>
    </row>
    <row r="346" spans="1:4">
      <c r="A346" t="s">
        <v>522</v>
      </c>
      <c r="B346" s="119">
        <f t="shared" si="5"/>
        <v>4</v>
      </c>
      <c r="C346">
        <v>4</v>
      </c>
      <c r="D346" s="119">
        <v>0</v>
      </c>
    </row>
    <row r="347" spans="1:4">
      <c r="A347">
        <v>891553</v>
      </c>
      <c r="B347" s="119">
        <f t="shared" si="5"/>
        <v>184</v>
      </c>
      <c r="C347">
        <v>183</v>
      </c>
      <c r="D347" s="119">
        <v>1</v>
      </c>
    </row>
    <row r="348" spans="1:4">
      <c r="A348">
        <v>887513</v>
      </c>
      <c r="B348" s="119">
        <f t="shared" si="5"/>
        <v>323</v>
      </c>
      <c r="C348">
        <v>202</v>
      </c>
      <c r="D348" s="119">
        <v>121</v>
      </c>
    </row>
    <row r="349" spans="1:4">
      <c r="A349">
        <v>894325</v>
      </c>
      <c r="B349" s="119">
        <f t="shared" si="5"/>
        <v>100</v>
      </c>
      <c r="C349">
        <v>36</v>
      </c>
      <c r="D349" s="119">
        <v>64</v>
      </c>
    </row>
    <row r="350" spans="1:4">
      <c r="A350">
        <v>887713</v>
      </c>
      <c r="B350" s="119">
        <f t="shared" si="5"/>
        <v>4</v>
      </c>
      <c r="C350">
        <v>4</v>
      </c>
      <c r="D350" s="119">
        <v>0</v>
      </c>
    </row>
    <row r="351" spans="1:4">
      <c r="A351" t="s">
        <v>554</v>
      </c>
      <c r="B351" s="119">
        <f t="shared" si="5"/>
        <v>0</v>
      </c>
      <c r="C351">
        <v>0</v>
      </c>
      <c r="D351" s="119">
        <v>0</v>
      </c>
    </row>
    <row r="352" spans="1:4">
      <c r="A352" t="s">
        <v>555</v>
      </c>
      <c r="B352" s="119">
        <f t="shared" si="5"/>
        <v>22.944444444444443</v>
      </c>
      <c r="C352">
        <v>19</v>
      </c>
      <c r="D352" s="119">
        <v>3.9444444444444429</v>
      </c>
    </row>
    <row r="353" spans="1:4">
      <c r="A353" t="s">
        <v>556</v>
      </c>
      <c r="B353" s="119">
        <f t="shared" si="5"/>
        <v>14</v>
      </c>
      <c r="C353">
        <v>14</v>
      </c>
      <c r="D353" s="119">
        <v>0</v>
      </c>
    </row>
    <row r="354" spans="1:4">
      <c r="A354" t="s">
        <v>557</v>
      </c>
      <c r="B354" s="119">
        <f t="shared" si="5"/>
        <v>22</v>
      </c>
      <c r="C354">
        <v>21</v>
      </c>
      <c r="D354" s="119">
        <v>1</v>
      </c>
    </row>
    <row r="355" spans="1:4">
      <c r="A355" t="s">
        <v>558</v>
      </c>
      <c r="B355" s="119">
        <f t="shared" si="5"/>
        <v>5973</v>
      </c>
      <c r="C355">
        <v>2748</v>
      </c>
      <c r="D355" s="119">
        <v>3225</v>
      </c>
    </row>
    <row r="356" spans="1:4">
      <c r="A356" t="s">
        <v>559</v>
      </c>
      <c r="B356" s="119">
        <f t="shared" si="5"/>
        <v>3261</v>
      </c>
      <c r="C356">
        <v>315</v>
      </c>
      <c r="D356" s="119">
        <v>2946</v>
      </c>
    </row>
    <row r="357" spans="1:4">
      <c r="A357">
        <v>891908</v>
      </c>
      <c r="B357" s="119">
        <f t="shared" si="5"/>
        <v>431</v>
      </c>
      <c r="C357">
        <v>34</v>
      </c>
      <c r="D357" s="119">
        <v>397</v>
      </c>
    </row>
    <row r="358" spans="1:4">
      <c r="A358">
        <v>896345</v>
      </c>
      <c r="B358" s="119">
        <f t="shared" si="5"/>
        <v>10</v>
      </c>
      <c r="C358">
        <v>10</v>
      </c>
      <c r="D358" s="119">
        <v>0</v>
      </c>
    </row>
    <row r="359" spans="1:4">
      <c r="A359" t="s">
        <v>560</v>
      </c>
      <c r="B359" s="119">
        <f t="shared" si="5"/>
        <v>593</v>
      </c>
      <c r="C359">
        <v>9</v>
      </c>
      <c r="D359" s="119">
        <v>584</v>
      </c>
    </row>
    <row r="360" spans="1:4">
      <c r="A360" t="s">
        <v>561</v>
      </c>
      <c r="B360" s="119">
        <f t="shared" si="5"/>
        <v>795</v>
      </c>
      <c r="C360">
        <v>485</v>
      </c>
      <c r="D360" s="119">
        <v>310</v>
      </c>
    </row>
    <row r="361" spans="1:4">
      <c r="A361" t="s">
        <v>562</v>
      </c>
      <c r="B361" s="119">
        <f t="shared" si="5"/>
        <v>169</v>
      </c>
      <c r="C361">
        <v>169</v>
      </c>
      <c r="D361" s="119">
        <v>0</v>
      </c>
    </row>
    <row r="362" spans="1:4">
      <c r="A362" t="s">
        <v>563</v>
      </c>
      <c r="B362" s="119">
        <f t="shared" si="5"/>
        <v>2.9999999999999929</v>
      </c>
      <c r="C362">
        <v>2.9999999999999929</v>
      </c>
      <c r="D362" s="119">
        <v>0</v>
      </c>
    </row>
    <row r="363" spans="1:4">
      <c r="A363" t="s">
        <v>564</v>
      </c>
      <c r="B363" s="119">
        <f t="shared" si="5"/>
        <v>0</v>
      </c>
      <c r="C363">
        <v>0</v>
      </c>
      <c r="D363" s="119">
        <v>0</v>
      </c>
    </row>
    <row r="364" spans="1:4">
      <c r="A364" t="s">
        <v>565</v>
      </c>
      <c r="B364" s="119">
        <f t="shared" si="5"/>
        <v>0</v>
      </c>
      <c r="C364">
        <v>0</v>
      </c>
      <c r="D364" s="119">
        <v>0</v>
      </c>
    </row>
    <row r="365" spans="1:4">
      <c r="A365" t="s">
        <v>566</v>
      </c>
      <c r="B365" s="119">
        <f t="shared" si="5"/>
        <v>102</v>
      </c>
      <c r="C365">
        <v>102</v>
      </c>
      <c r="D365" s="119">
        <v>0</v>
      </c>
    </row>
    <row r="366" spans="1:4">
      <c r="A366" t="s">
        <v>567</v>
      </c>
      <c r="B366" s="119">
        <f t="shared" si="5"/>
        <v>0</v>
      </c>
      <c r="C366">
        <v>0</v>
      </c>
      <c r="D366" s="119">
        <v>0</v>
      </c>
    </row>
    <row r="367" spans="1:4">
      <c r="A367">
        <v>894333</v>
      </c>
      <c r="B367" s="119">
        <f t="shared" si="5"/>
        <v>298</v>
      </c>
      <c r="C367">
        <v>211</v>
      </c>
      <c r="D367" s="119">
        <v>87</v>
      </c>
    </row>
    <row r="368" spans="1:4">
      <c r="A368" t="s">
        <v>568</v>
      </c>
      <c r="B368" s="119">
        <f t="shared" si="5"/>
        <v>0</v>
      </c>
      <c r="C368">
        <v>0</v>
      </c>
      <c r="D368" s="119">
        <v>0</v>
      </c>
    </row>
    <row r="369" spans="1:4">
      <c r="A369" t="s">
        <v>544</v>
      </c>
      <c r="B369" s="119">
        <f t="shared" si="5"/>
        <v>2</v>
      </c>
      <c r="C369">
        <v>0</v>
      </c>
      <c r="D369" s="119">
        <v>2</v>
      </c>
    </row>
    <row r="370" spans="1:4">
      <c r="A370" t="s">
        <v>570</v>
      </c>
      <c r="B370" s="119">
        <f t="shared" si="5"/>
        <v>0</v>
      </c>
      <c r="C370">
        <v>0</v>
      </c>
      <c r="D370" s="119">
        <v>0</v>
      </c>
    </row>
    <row r="371" spans="1:4">
      <c r="A371" t="s">
        <v>574</v>
      </c>
      <c r="B371" s="119">
        <f t="shared" si="5"/>
        <v>10.025000000000027</v>
      </c>
      <c r="C371">
        <v>9</v>
      </c>
      <c r="D371" s="119">
        <v>1.025000000000027</v>
      </c>
    </row>
    <row r="372" spans="1:4">
      <c r="A372" t="s">
        <v>575</v>
      </c>
      <c r="B372" s="119">
        <f t="shared" si="5"/>
        <v>0</v>
      </c>
      <c r="C372">
        <v>0</v>
      </c>
      <c r="D372" s="119">
        <v>0</v>
      </c>
    </row>
    <row r="373" spans="1:4">
      <c r="A373" t="s">
        <v>577</v>
      </c>
      <c r="B373" s="119">
        <f t="shared" si="5"/>
        <v>0</v>
      </c>
      <c r="C373">
        <v>0</v>
      </c>
      <c r="D373" s="119">
        <v>0</v>
      </c>
    </row>
    <row r="374" spans="1:4">
      <c r="A374">
        <v>889677</v>
      </c>
      <c r="B374" s="119">
        <f t="shared" si="5"/>
        <v>1</v>
      </c>
      <c r="C374">
        <v>1</v>
      </c>
      <c r="D374" s="119">
        <v>0</v>
      </c>
    </row>
    <row r="375" spans="1:4">
      <c r="A375" t="s">
        <v>579</v>
      </c>
      <c r="B375" s="119">
        <f t="shared" si="5"/>
        <v>137</v>
      </c>
      <c r="C375">
        <v>78</v>
      </c>
      <c r="D375" s="119">
        <v>59</v>
      </c>
    </row>
    <row r="376" spans="1:4">
      <c r="A376" t="s">
        <v>580</v>
      </c>
      <c r="B376" s="119">
        <f t="shared" si="5"/>
        <v>0</v>
      </c>
      <c r="C376">
        <v>0</v>
      </c>
      <c r="D376" s="119">
        <v>0</v>
      </c>
    </row>
    <row r="377" spans="1:4">
      <c r="A377" t="s">
        <v>582</v>
      </c>
      <c r="B377" s="119">
        <f t="shared" si="5"/>
        <v>0</v>
      </c>
      <c r="C377">
        <v>0</v>
      </c>
      <c r="D377" s="119">
        <v>0</v>
      </c>
    </row>
    <row r="378" spans="1:4">
      <c r="A378" t="s">
        <v>583</v>
      </c>
      <c r="B378" s="119">
        <f t="shared" si="5"/>
        <v>0</v>
      </c>
      <c r="C378">
        <v>0</v>
      </c>
      <c r="D378" s="119">
        <v>0</v>
      </c>
    </row>
    <row r="379" spans="1:4">
      <c r="A379" t="s">
        <v>587</v>
      </c>
      <c r="B379" s="119">
        <f t="shared" si="5"/>
        <v>45</v>
      </c>
      <c r="C379">
        <v>14</v>
      </c>
      <c r="D379" s="119">
        <v>31</v>
      </c>
    </row>
    <row r="380" spans="1:4">
      <c r="A380" t="s">
        <v>588</v>
      </c>
      <c r="B380" s="119">
        <f t="shared" si="5"/>
        <v>0</v>
      </c>
      <c r="C380">
        <v>0</v>
      </c>
      <c r="D380" s="119">
        <v>0</v>
      </c>
    </row>
    <row r="381" spans="1:4">
      <c r="A381" t="s">
        <v>589</v>
      </c>
      <c r="B381" s="119">
        <f t="shared" si="5"/>
        <v>4</v>
      </c>
      <c r="C381">
        <v>4</v>
      </c>
      <c r="D381" s="119">
        <v>0</v>
      </c>
    </row>
    <row r="382" spans="1:4">
      <c r="A382" t="s">
        <v>590</v>
      </c>
      <c r="B382" s="119">
        <f t="shared" si="5"/>
        <v>13</v>
      </c>
      <c r="C382">
        <v>13</v>
      </c>
      <c r="D382" s="119">
        <v>0</v>
      </c>
    </row>
    <row r="383" spans="1:4">
      <c r="A383" t="s">
        <v>591</v>
      </c>
      <c r="B383" s="119">
        <f t="shared" si="5"/>
        <v>129</v>
      </c>
      <c r="C383">
        <v>129</v>
      </c>
      <c r="D383" s="119">
        <v>0</v>
      </c>
    </row>
    <row r="384" spans="1:4">
      <c r="A384" t="s">
        <v>592</v>
      </c>
      <c r="B384" s="119">
        <f t="shared" si="5"/>
        <v>2</v>
      </c>
      <c r="C384">
        <v>1</v>
      </c>
      <c r="D384" s="119">
        <v>1</v>
      </c>
    </row>
    <row r="385" spans="1:4">
      <c r="A385" t="s">
        <v>593</v>
      </c>
      <c r="B385" s="119">
        <f t="shared" si="5"/>
        <v>0</v>
      </c>
      <c r="C385">
        <v>0</v>
      </c>
      <c r="D385" s="119">
        <v>0</v>
      </c>
    </row>
    <row r="386" spans="1:4">
      <c r="A386" t="s">
        <v>599</v>
      </c>
      <c r="B386" s="119">
        <f t="shared" ref="B386:B396" si="6">C386+D386</f>
        <v>2</v>
      </c>
      <c r="C386">
        <v>2</v>
      </c>
      <c r="D386" s="119">
        <v>0</v>
      </c>
    </row>
    <row r="387" spans="1:4">
      <c r="A387" t="s">
        <v>600</v>
      </c>
      <c r="B387" s="119">
        <f t="shared" si="6"/>
        <v>0</v>
      </c>
      <c r="C387">
        <v>0</v>
      </c>
      <c r="D387" s="119">
        <v>0</v>
      </c>
    </row>
    <row r="388" spans="1:4">
      <c r="A388" t="s">
        <v>604</v>
      </c>
      <c r="B388" s="119">
        <f t="shared" si="6"/>
        <v>0</v>
      </c>
      <c r="C388">
        <v>0</v>
      </c>
      <c r="D388" s="119">
        <v>0</v>
      </c>
    </row>
    <row r="389" spans="1:4">
      <c r="A389" t="s">
        <v>608</v>
      </c>
      <c r="B389" s="119">
        <f t="shared" si="6"/>
        <v>60</v>
      </c>
      <c r="C389">
        <v>0</v>
      </c>
      <c r="D389" s="119">
        <v>60</v>
      </c>
    </row>
    <row r="390" spans="1:4">
      <c r="A390" t="s">
        <v>609</v>
      </c>
      <c r="B390" s="119">
        <f t="shared" si="6"/>
        <v>39</v>
      </c>
      <c r="C390">
        <v>0</v>
      </c>
      <c r="D390" s="119">
        <v>39</v>
      </c>
    </row>
    <row r="391" spans="1:4">
      <c r="A391">
        <v>897409</v>
      </c>
      <c r="B391" s="119">
        <f t="shared" si="6"/>
        <v>952</v>
      </c>
      <c r="C391">
        <v>226</v>
      </c>
      <c r="D391" s="119">
        <v>726</v>
      </c>
    </row>
    <row r="392" spans="1:4">
      <c r="A392">
        <v>883081</v>
      </c>
      <c r="B392" s="119">
        <f t="shared" si="6"/>
        <v>21</v>
      </c>
      <c r="C392">
        <v>9</v>
      </c>
      <c r="D392" s="119">
        <v>12</v>
      </c>
    </row>
    <row r="393" spans="1:4">
      <c r="A393" t="s">
        <v>612</v>
      </c>
      <c r="B393" s="119">
        <f t="shared" si="6"/>
        <v>24</v>
      </c>
      <c r="C393">
        <v>24</v>
      </c>
      <c r="D393" s="119">
        <v>0</v>
      </c>
    </row>
    <row r="394" spans="1:4">
      <c r="A394" t="s">
        <v>613</v>
      </c>
      <c r="B394" s="119">
        <f t="shared" si="6"/>
        <v>0</v>
      </c>
      <c r="C394">
        <v>0</v>
      </c>
      <c r="D394" s="119">
        <v>0</v>
      </c>
    </row>
    <row r="395" spans="1:4">
      <c r="A395">
        <v>900685</v>
      </c>
      <c r="B395" s="119">
        <f t="shared" si="6"/>
        <v>2119</v>
      </c>
      <c r="C395">
        <v>1635</v>
      </c>
      <c r="D395" s="119">
        <v>484</v>
      </c>
    </row>
    <row r="396" spans="1:4">
      <c r="A396">
        <v>150165</v>
      </c>
      <c r="B396" s="119">
        <f t="shared" si="6"/>
        <v>140</v>
      </c>
      <c r="C396">
        <v>115</v>
      </c>
      <c r="D396" s="119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2019-05-21T09:10:41Z</cp:lastPrinted>
  <dcterms:created xsi:type="dcterms:W3CDTF">2015-08-12T15:27:47Z</dcterms:created>
  <dcterms:modified xsi:type="dcterms:W3CDTF">2024-09-19T03:04:19Z</dcterms:modified>
</cp:coreProperties>
</file>