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esktop\CHERRY\"/>
    </mc:Choice>
  </mc:AlternateContent>
  <bookViews>
    <workbookView xWindow="0" yWindow="0" windowWidth="19180" windowHeight="7260" firstSheet="1" activeTab="3"/>
  </bookViews>
  <sheets>
    <sheet name="Sheet1" sheetId="6" state="hidden" r:id="rId1"/>
    <sheet name="2021" sheetId="15" r:id="rId2"/>
    <sheet name="2022" sheetId="16" r:id="rId3"/>
    <sheet name="2023" sheetId="17" r:id="rId4"/>
  </sheets>
  <definedNames>
    <definedName name="_xlnm._FilterDatabase" localSheetId="1" hidden="1">'2021'!$A$1:$CE$5</definedName>
    <definedName name="_xlnm._FilterDatabase" localSheetId="2" hidden="1">'2022'!$A$1:$CE$1</definedName>
  </definedNames>
  <calcPr calcId="152511"/>
</workbook>
</file>

<file path=xl/calcChain.xml><?xml version="1.0" encoding="utf-8"?>
<calcChain xmlns="http://schemas.openxmlformats.org/spreadsheetml/2006/main">
  <c r="AJ12" i="17" l="1"/>
  <c r="AJ11" i="17"/>
  <c r="AJ10" i="17"/>
  <c r="AJ9" i="17"/>
  <c r="AQ13" i="17"/>
  <c r="AQ12" i="17"/>
  <c r="AQ11" i="17"/>
  <c r="AQ10" i="17"/>
  <c r="AQ9" i="17"/>
  <c r="AP12" i="17"/>
  <c r="AR12" i="17" s="1"/>
  <c r="AP11" i="17"/>
  <c r="AR11" i="17" s="1"/>
  <c r="AP10" i="17"/>
  <c r="AR10" i="17" s="1"/>
  <c r="AP9" i="17"/>
  <c r="AP13" i="17" s="1"/>
  <c r="AO13" i="17"/>
  <c r="AN13" i="17"/>
  <c r="AM13" i="17"/>
  <c r="AM12" i="17"/>
  <c r="AM11" i="17"/>
  <c r="AM10" i="17"/>
  <c r="AM9" i="17"/>
  <c r="AL13" i="17"/>
  <c r="AK13" i="17"/>
  <c r="AK12" i="17"/>
  <c r="AK11" i="17"/>
  <c r="AK10" i="17"/>
  <c r="AK9" i="17"/>
  <c r="AJ13" i="17"/>
  <c r="AG12" i="17"/>
  <c r="AG11" i="17"/>
  <c r="AG13" i="17" s="1"/>
  <c r="AG10" i="17"/>
  <c r="AG9" i="17"/>
  <c r="AF12" i="17"/>
  <c r="AF11" i="17"/>
  <c r="AF10" i="17"/>
  <c r="AF9" i="17"/>
  <c r="AF13" i="17" s="1"/>
  <c r="AR9" i="17" l="1"/>
  <c r="AR13" i="17" s="1"/>
  <c r="AC13" i="17"/>
  <c r="AB13" i="17"/>
  <c r="AA12" i="17"/>
  <c r="AA11" i="17"/>
  <c r="AA13" i="17" s="1"/>
  <c r="AA10" i="17"/>
  <c r="AA9" i="17"/>
  <c r="X12" i="17"/>
  <c r="Y12" i="17" s="1"/>
  <c r="X11" i="17"/>
  <c r="X10" i="17"/>
  <c r="U13" i="17"/>
  <c r="T13" i="17"/>
  <c r="V12" i="17"/>
  <c r="V11" i="17"/>
  <c r="Z11" i="17" s="1"/>
  <c r="V10" i="17"/>
  <c r="V9" i="17"/>
  <c r="V13" i="17" s="1"/>
  <c r="AI9" i="17" l="1"/>
  <c r="AH9" i="17"/>
  <c r="AH12" i="17"/>
  <c r="AI12" i="17"/>
  <c r="Y10" i="17"/>
  <c r="AD10" i="17" s="1"/>
  <c r="AE10" i="17" s="1"/>
  <c r="Y11" i="17"/>
  <c r="AD11" i="17" s="1"/>
  <c r="AE11" i="17" s="1"/>
  <c r="AI10" i="17"/>
  <c r="AH10" i="17"/>
  <c r="Z9" i="17"/>
  <c r="AH11" i="17"/>
  <c r="AI11" i="17"/>
  <c r="Z10" i="17"/>
  <c r="Z12" i="17"/>
  <c r="AD12" i="17" s="1"/>
  <c r="AE12" i="17" s="1"/>
  <c r="X9" i="17"/>
  <c r="AQ7" i="17"/>
  <c r="AQ6" i="17"/>
  <c r="AQ8" i="17" s="1"/>
  <c r="AM7" i="17"/>
  <c r="AM6" i="17"/>
  <c r="AM8" i="17" s="1"/>
  <c r="AK7" i="17"/>
  <c r="AK6" i="17"/>
  <c r="AK8" i="17" s="1"/>
  <c r="AJ7" i="17"/>
  <c r="AJ6" i="17"/>
  <c r="AJ8" i="17" s="1"/>
  <c r="AI7" i="17"/>
  <c r="AI6" i="17"/>
  <c r="AI8" i="17" s="1"/>
  <c r="AF7" i="17"/>
  <c r="AF6" i="17"/>
  <c r="AG7" i="17"/>
  <c r="AG6" i="17"/>
  <c r="AG8" i="17" s="1"/>
  <c r="AC8" i="17"/>
  <c r="AB7" i="17"/>
  <c r="AB8" i="17" s="1"/>
  <c r="AB6" i="17"/>
  <c r="AA7" i="17"/>
  <c r="AA6" i="17"/>
  <c r="AA8" i="17" s="1"/>
  <c r="Z7" i="17"/>
  <c r="Z6" i="17"/>
  <c r="Z8" i="17" s="1"/>
  <c r="V7" i="17"/>
  <c r="Y7" i="17" s="1"/>
  <c r="AD7" i="17" s="1"/>
  <c r="AE7" i="17" s="1"/>
  <c r="V6" i="17"/>
  <c r="AH6" i="17" s="1"/>
  <c r="U8" i="17"/>
  <c r="T8" i="17"/>
  <c r="AP6" i="17" l="1"/>
  <c r="AH7" i="17"/>
  <c r="AP7" i="17" s="1"/>
  <c r="AR7" i="17" s="1"/>
  <c r="Z13" i="17"/>
  <c r="AH13" i="17"/>
  <c r="V8" i="17"/>
  <c r="AI13" i="17"/>
  <c r="Y6" i="17"/>
  <c r="AF8" i="17"/>
  <c r="X13" i="17"/>
  <c r="Y9" i="17"/>
  <c r="Y13" i="17" s="1"/>
  <c r="AQ4" i="17"/>
  <c r="AQ3" i="17"/>
  <c r="AQ2" i="17"/>
  <c r="AM4" i="17"/>
  <c r="AM3" i="17"/>
  <c r="AM2" i="17"/>
  <c r="AJ4" i="17"/>
  <c r="AJ3" i="17"/>
  <c r="AJ2" i="17"/>
  <c r="AF4" i="17"/>
  <c r="AF3" i="17"/>
  <c r="AF2" i="17"/>
  <c r="AP8" i="17" l="1"/>
  <c r="AD9" i="17"/>
  <c r="AD6" i="17"/>
  <c r="Y8" i="17"/>
  <c r="AH8" i="17"/>
  <c r="AC5" i="17"/>
  <c r="AC4" i="17"/>
  <c r="AC3" i="17"/>
  <c r="AC2" i="17"/>
  <c r="AB4" i="17"/>
  <c r="AB3" i="17"/>
  <c r="AB2" i="17"/>
  <c r="AB5" i="17" s="1"/>
  <c r="AA4" i="17"/>
  <c r="AA3" i="17"/>
  <c r="AA2" i="17"/>
  <c r="V4" i="17"/>
  <c r="Z4" i="17" s="1"/>
  <c r="V3" i="17"/>
  <c r="AI3" i="17" s="1"/>
  <c r="V2" i="17"/>
  <c r="Z2" i="17" s="1"/>
  <c r="AI4" i="17"/>
  <c r="AH4" i="17"/>
  <c r="AG4" i="17"/>
  <c r="AP4" i="17" s="1"/>
  <c r="AK4" i="17"/>
  <c r="AG3" i="17"/>
  <c r="Z3" i="17"/>
  <c r="Y3" i="17"/>
  <c r="AD3" i="17" s="1"/>
  <c r="AE3" i="17" s="1"/>
  <c r="AH3" i="17"/>
  <c r="AK3" i="17"/>
  <c r="AQ5" i="17"/>
  <c r="AM5" i="17"/>
  <c r="AK2" i="17"/>
  <c r="AJ5" i="17"/>
  <c r="AG2" i="17"/>
  <c r="AF5" i="17"/>
  <c r="AA5" i="17"/>
  <c r="U5" i="17"/>
  <c r="T5" i="17"/>
  <c r="AP3" i="17" l="1"/>
  <c r="Z5" i="17"/>
  <c r="AG5" i="17"/>
  <c r="AD8" i="17"/>
  <c r="AE6" i="17"/>
  <c r="AD13" i="17"/>
  <c r="AE9" i="17"/>
  <c r="AE13" i="17" s="1"/>
  <c r="Y4" i="17"/>
  <c r="AD4" i="17" s="1"/>
  <c r="AE4" i="17" s="1"/>
  <c r="AR3" i="17"/>
  <c r="AK5" i="17"/>
  <c r="Y2" i="17"/>
  <c r="AI2" i="17"/>
  <c r="AI5" i="17" s="1"/>
  <c r="V5" i="17"/>
  <c r="AH2" i="17"/>
  <c r="AH5" i="17" s="1"/>
  <c r="AR6" i="17" l="1"/>
  <c r="AR8" i="17" s="1"/>
  <c r="AE8" i="17"/>
  <c r="AR4" i="17"/>
  <c r="Y5" i="17"/>
  <c r="AD2" i="17"/>
  <c r="AP2" i="17"/>
  <c r="AP5" i="17" s="1"/>
  <c r="AD5" i="17" l="1"/>
  <c r="AE2" i="17"/>
  <c r="AE5" i="17" l="1"/>
  <c r="AR2" i="17"/>
  <c r="AR5" i="17" s="1"/>
  <c r="AM33" i="16" l="1"/>
  <c r="AQ33" i="16" l="1"/>
  <c r="AK33" i="16"/>
  <c r="AI33" i="16"/>
  <c r="AP33" i="16" s="1"/>
  <c r="AH33" i="16"/>
  <c r="AG33" i="16"/>
  <c r="AF33" i="16"/>
  <c r="AF29" i="16" l="1"/>
  <c r="Z33" i="16"/>
  <c r="Y33" i="16"/>
  <c r="AD33" i="16" s="1"/>
  <c r="AE33" i="16" s="1"/>
  <c r="AR33" i="16" s="1"/>
  <c r="AR31" i="16" l="1"/>
  <c r="AQ31" i="16" l="1"/>
  <c r="AP31" i="16"/>
  <c r="AM31" i="16"/>
  <c r="AK31" i="16"/>
  <c r="AI31" i="16"/>
  <c r="AH31" i="16"/>
  <c r="AG31" i="16"/>
  <c r="AF31" i="16"/>
  <c r="AF26" i="16"/>
  <c r="AE31" i="16" l="1"/>
  <c r="AD31" i="16"/>
  <c r="Z31" i="16"/>
  <c r="Y31" i="16"/>
  <c r="X31" i="16"/>
  <c r="AQ26" i="16" l="1"/>
  <c r="AQ29" i="16"/>
  <c r="AQ28" i="16"/>
  <c r="AR28" i="16"/>
  <c r="AQ30" i="16"/>
  <c r="AP29" i="16"/>
  <c r="AP30" i="16" s="1"/>
  <c r="AP28" i="16"/>
  <c r="AM30" i="16"/>
  <c r="AM29" i="16"/>
  <c r="AM28" i="16"/>
  <c r="AR29" i="16" l="1"/>
  <c r="AR30" i="16" s="1"/>
  <c r="AK30" i="16"/>
  <c r="AK29" i="16"/>
  <c r="AK28" i="16"/>
  <c r="AJ30" i="16"/>
  <c r="AJ29" i="16"/>
  <c r="AJ28" i="16"/>
  <c r="AI30" i="16"/>
  <c r="AI29" i="16"/>
  <c r="AI28" i="16"/>
  <c r="AH30" i="16"/>
  <c r="AH29" i="16"/>
  <c r="AH28" i="16"/>
  <c r="AG30" i="16"/>
  <c r="AG29" i="16"/>
  <c r="AG28" i="16"/>
  <c r="AF30" i="16"/>
  <c r="AF28" i="16"/>
  <c r="AE30" i="16"/>
  <c r="AE29" i="16"/>
  <c r="AE28" i="16"/>
  <c r="AD30" i="16"/>
  <c r="AD29" i="16"/>
  <c r="AD28" i="16"/>
  <c r="AD26" i="16"/>
  <c r="AA30" i="16"/>
  <c r="AA29" i="16"/>
  <c r="AA28" i="16"/>
  <c r="Z30" i="16"/>
  <c r="Y30" i="16"/>
  <c r="Z29" i="16"/>
  <c r="Z28" i="16"/>
  <c r="Y29" i="16"/>
  <c r="Y28" i="16"/>
  <c r="V30" i="16"/>
  <c r="U30" i="16"/>
  <c r="T30" i="16"/>
  <c r="AM26" i="16" l="1"/>
  <c r="AP26" i="16"/>
  <c r="AR26" i="16" s="1"/>
  <c r="AJ26" i="16"/>
  <c r="AJ23" i="16"/>
  <c r="AI26" i="16"/>
  <c r="AH26" i="16"/>
  <c r="AG26" i="16"/>
  <c r="AE26" i="16" l="1"/>
  <c r="Z26" i="16"/>
  <c r="Y26" i="16"/>
  <c r="X26" i="16"/>
  <c r="AF24" i="16" l="1"/>
  <c r="AF23" i="16"/>
  <c r="AQ24" i="16"/>
  <c r="AQ23" i="16"/>
  <c r="AM24" i="16"/>
  <c r="AM23" i="16"/>
  <c r="AM21" i="16"/>
  <c r="AK24" i="16"/>
  <c r="AK23" i="16"/>
  <c r="AJ24" i="16"/>
  <c r="AG24" i="16"/>
  <c r="AG23" i="16"/>
  <c r="AA24" i="16" l="1"/>
  <c r="AA23" i="16"/>
  <c r="V24" i="16" l="1"/>
  <c r="V23" i="16"/>
  <c r="AH23" i="16" l="1"/>
  <c r="AP23" i="16" s="1"/>
  <c r="AI23" i="16"/>
  <c r="Z23" i="16"/>
  <c r="Y23" i="16"/>
  <c r="AD23" i="16" s="1"/>
  <c r="AE23" i="16" s="1"/>
  <c r="AH24" i="16"/>
  <c r="AP24" i="16" s="1"/>
  <c r="AI24" i="16"/>
  <c r="Z24" i="16"/>
  <c r="Y24" i="16"/>
  <c r="AD24" i="16" s="1"/>
  <c r="AE24" i="16" s="1"/>
  <c r="AR24" i="16" s="1"/>
  <c r="AI21" i="16"/>
  <c r="AQ21" i="16"/>
  <c r="AH21" i="16"/>
  <c r="AG21" i="16"/>
  <c r="AF21" i="16"/>
  <c r="AR23" i="16" l="1"/>
  <c r="AP21" i="16"/>
  <c r="X21" i="16"/>
  <c r="AA21" i="16" l="1"/>
  <c r="Z21" i="16"/>
  <c r="Y21" i="16" l="1"/>
  <c r="AM19" i="16"/>
  <c r="AM18" i="16"/>
  <c r="AM16" i="16"/>
  <c r="AM15" i="16"/>
  <c r="AM14" i="16"/>
  <c r="AJ14" i="16"/>
  <c r="AD21" i="16" l="1"/>
  <c r="AQ20" i="16"/>
  <c r="AQ19" i="16"/>
  <c r="AQ18" i="16"/>
  <c r="AQ16" i="16"/>
  <c r="AQ15" i="16"/>
  <c r="AQ14" i="16"/>
  <c r="AQ17" i="16" s="1"/>
  <c r="AE21" i="16" l="1"/>
  <c r="AQ12" i="16"/>
  <c r="AM20" i="16"/>
  <c r="AM17" i="16"/>
  <c r="AM12" i="16"/>
  <c r="AJ19" i="16"/>
  <c r="AJ18" i="16"/>
  <c r="AJ16" i="16"/>
  <c r="AJ17" i="16"/>
  <c r="AJ15" i="16"/>
  <c r="AJ12" i="16"/>
  <c r="AI16" i="16"/>
  <c r="AH16" i="16"/>
  <c r="AG19" i="16"/>
  <c r="AG18" i="16"/>
  <c r="AG20" i="16" s="1"/>
  <c r="AG16" i="16"/>
  <c r="AG15" i="16"/>
  <c r="AG14" i="16"/>
  <c r="AG17" i="16" s="1"/>
  <c r="AG12" i="16"/>
  <c r="AG11" i="16"/>
  <c r="AF20" i="16"/>
  <c r="AF19" i="16"/>
  <c r="AF18" i="16"/>
  <c r="AF14" i="16"/>
  <c r="AF16" i="16"/>
  <c r="AF15" i="16"/>
  <c r="AF17" i="16" l="1"/>
  <c r="AR21" i="16"/>
  <c r="AJ20" i="16"/>
  <c r="AF12" i="16" l="1"/>
  <c r="AA20" i="16"/>
  <c r="AA19" i="16"/>
  <c r="AA18" i="16"/>
  <c r="AA16" i="16"/>
  <c r="AA17" i="16" s="1"/>
  <c r="AA15" i="16"/>
  <c r="AA14" i="16"/>
  <c r="Z19" i="16"/>
  <c r="Z14" i="16"/>
  <c r="Z16" i="16"/>
  <c r="Y19" i="16"/>
  <c r="AD19" i="16" s="1"/>
  <c r="AE19" i="16" s="1"/>
  <c r="Y18" i="16"/>
  <c r="Y20" i="16" s="1"/>
  <c r="Y16" i="16"/>
  <c r="Y14" i="16"/>
  <c r="AD14" i="16" s="1"/>
  <c r="V20" i="16"/>
  <c r="V19" i="16"/>
  <c r="V18" i="16"/>
  <c r="V15" i="16"/>
  <c r="V14" i="16"/>
  <c r="U19" i="16"/>
  <c r="U18" i="16"/>
  <c r="U20" i="16" s="1"/>
  <c r="U16" i="16"/>
  <c r="U17" i="16" s="1"/>
  <c r="U15" i="16"/>
  <c r="U14" i="16"/>
  <c r="T19" i="16"/>
  <c r="AK19" i="16" s="1"/>
  <c r="T18" i="16"/>
  <c r="AK18" i="16" s="1"/>
  <c r="AK20" i="16" s="1"/>
  <c r="T16" i="16"/>
  <c r="AK16" i="16" s="1"/>
  <c r="AP16" i="16" s="1"/>
  <c r="T15" i="16"/>
  <c r="AK15" i="16" s="1"/>
  <c r="T14" i="16"/>
  <c r="AK14" i="16" s="1"/>
  <c r="AK17" i="16" s="1"/>
  <c r="AE14" i="16" l="1"/>
  <c r="AI15" i="16"/>
  <c r="AH15" i="16"/>
  <c r="AP15" i="16" s="1"/>
  <c r="AR15" i="16" s="1"/>
  <c r="T20" i="16"/>
  <c r="Z15" i="16"/>
  <c r="Z17" i="16" s="1"/>
  <c r="AD16" i="16"/>
  <c r="AE16" i="16" s="1"/>
  <c r="AI18" i="16"/>
  <c r="AI20" i="16" s="1"/>
  <c r="AH18" i="16"/>
  <c r="AI19" i="16"/>
  <c r="AH19" i="16"/>
  <c r="AP19" i="16" s="1"/>
  <c r="AR19" i="16" s="1"/>
  <c r="V17" i="16"/>
  <c r="Y15" i="16"/>
  <c r="AD15" i="16" s="1"/>
  <c r="AE15" i="16" s="1"/>
  <c r="AR16" i="16"/>
  <c r="AI14" i="16"/>
  <c r="AH14" i="16"/>
  <c r="T17" i="16"/>
  <c r="Z18" i="16"/>
  <c r="Z20" i="16" s="1"/>
  <c r="AC13" i="16"/>
  <c r="AB13" i="16"/>
  <c r="AC10" i="16"/>
  <c r="AB10" i="16"/>
  <c r="AM11" i="16"/>
  <c r="AM9" i="16"/>
  <c r="AM8" i="16"/>
  <c r="AD18" i="16" l="1"/>
  <c r="AH17" i="16"/>
  <c r="AP14" i="16"/>
  <c r="AP17" i="16" s="1"/>
  <c r="Y17" i="16"/>
  <c r="AD17" i="16"/>
  <c r="AM10" i="16"/>
  <c r="AI17" i="16"/>
  <c r="AH20" i="16"/>
  <c r="AP18" i="16"/>
  <c r="AP20" i="16" s="1"/>
  <c r="AE17" i="16"/>
  <c r="AQ11" i="16"/>
  <c r="AQ13" i="16" s="1"/>
  <c r="AM13" i="16"/>
  <c r="AK12" i="16"/>
  <c r="AK11" i="16"/>
  <c r="AJ11" i="16"/>
  <c r="AJ13" i="16" s="1"/>
  <c r="AF11" i="16"/>
  <c r="AE18" i="16" l="1"/>
  <c r="AD20" i="16"/>
  <c r="AK13" i="16"/>
  <c r="AR14" i="16"/>
  <c r="AR17" i="16" s="1"/>
  <c r="AG13" i="16"/>
  <c r="AF13" i="16"/>
  <c r="AF9" i="16"/>
  <c r="AF8" i="16"/>
  <c r="AR18" i="16" l="1"/>
  <c r="AR20" i="16" s="1"/>
  <c r="AE20" i="16"/>
  <c r="AQ9" i="16"/>
  <c r="AQ8" i="16"/>
  <c r="AQ10" i="16" s="1"/>
  <c r="AL10" i="16" l="1"/>
  <c r="AK9" i="16"/>
  <c r="AK8" i="16"/>
  <c r="AK10" i="16" s="1"/>
  <c r="AJ9" i="16"/>
  <c r="AJ8" i="16"/>
  <c r="AG9" i="16"/>
  <c r="AG8" i="16"/>
  <c r="AF10" i="16"/>
  <c r="AA12" i="16"/>
  <c r="AA11" i="16"/>
  <c r="AA9" i="16"/>
  <c r="AA8" i="16"/>
  <c r="AA10" i="16" s="1"/>
  <c r="AA13" i="16" l="1"/>
  <c r="AJ10" i="16"/>
  <c r="AG10" i="16"/>
  <c r="X13" i="16"/>
  <c r="X10" i="16"/>
  <c r="V12" i="16"/>
  <c r="V11" i="16"/>
  <c r="V13" i="16" s="1"/>
  <c r="V9" i="16"/>
  <c r="V8" i="16"/>
  <c r="U13" i="16"/>
  <c r="U10" i="16"/>
  <c r="T13" i="16"/>
  <c r="T10" i="16"/>
  <c r="AH8" i="16" l="1"/>
  <c r="AI8" i="16"/>
  <c r="V10" i="16"/>
  <c r="Z8" i="16"/>
  <c r="Y8" i="16"/>
  <c r="AH9" i="16"/>
  <c r="AI9" i="16"/>
  <c r="Z9" i="16"/>
  <c r="Y9" i="16"/>
  <c r="AI11" i="16"/>
  <c r="AH11" i="16"/>
  <c r="Z11" i="16"/>
  <c r="Y11" i="16"/>
  <c r="AI12" i="16"/>
  <c r="AH12" i="16"/>
  <c r="AP12" i="16" s="1"/>
  <c r="Z12" i="16"/>
  <c r="Y12" i="16"/>
  <c r="AM6" i="16"/>
  <c r="Z13" i="16" l="1"/>
  <c r="Z10" i="16"/>
  <c r="AR12" i="16"/>
  <c r="AH13" i="16"/>
  <c r="AP11" i="16"/>
  <c r="AI13" i="16"/>
  <c r="AP9" i="16"/>
  <c r="AI10" i="16"/>
  <c r="AD12" i="16"/>
  <c r="AE12" i="16" s="1"/>
  <c r="AD11" i="16"/>
  <c r="Y13" i="16"/>
  <c r="AD9" i="16"/>
  <c r="AE9" i="16" s="1"/>
  <c r="AD8" i="16"/>
  <c r="Y10" i="16"/>
  <c r="AP8" i="16"/>
  <c r="AH10" i="16"/>
  <c r="AQ6" i="16"/>
  <c r="AI6" i="16"/>
  <c r="AH6" i="16"/>
  <c r="AG6" i="16"/>
  <c r="AF6" i="16"/>
  <c r="Z6" i="16"/>
  <c r="X6" i="16"/>
  <c r="Y6" i="16" s="1"/>
  <c r="AD6" i="16" s="1"/>
  <c r="AE6" i="16" s="1"/>
  <c r="AR9" i="16" l="1"/>
  <c r="AP6" i="16"/>
  <c r="AR6" i="16" s="1"/>
  <c r="AP10" i="16"/>
  <c r="AD13" i="16"/>
  <c r="AE11" i="16"/>
  <c r="AE13" i="16" s="1"/>
  <c r="AE8" i="16"/>
  <c r="AE10" i="16" s="1"/>
  <c r="AD10" i="16"/>
  <c r="AP13" i="16"/>
  <c r="AQ4" i="16"/>
  <c r="AM4" i="16"/>
  <c r="AR11" i="16" l="1"/>
  <c r="AR13" i="16" s="1"/>
  <c r="AR8" i="16"/>
  <c r="AR10" i="16" s="1"/>
  <c r="X4" i="16"/>
  <c r="AI4" i="16" l="1"/>
  <c r="AH4" i="16"/>
  <c r="AG4" i="16"/>
  <c r="AF4" i="16"/>
  <c r="Z4" i="16"/>
  <c r="Y4" i="16"/>
  <c r="AD4" i="16" l="1"/>
  <c r="AE4" i="16" s="1"/>
  <c r="AP4" i="16"/>
  <c r="AM2" i="16"/>
  <c r="AR4" i="16" l="1"/>
  <c r="AQ2" i="16"/>
  <c r="AI2" i="16"/>
  <c r="AH2" i="16"/>
  <c r="AG2" i="16"/>
  <c r="AF2" i="16"/>
  <c r="AP2" i="16" l="1"/>
  <c r="Z2" i="16"/>
  <c r="Y2" i="16"/>
  <c r="AD2" i="16" l="1"/>
  <c r="AE2" i="16" s="1"/>
  <c r="AR2" i="16" s="1"/>
  <c r="AQ147" i="15"/>
  <c r="AQ146" i="15"/>
  <c r="AQ145" i="15"/>
  <c r="AQ144" i="15"/>
  <c r="AQ143" i="15"/>
  <c r="AQ142" i="15"/>
  <c r="AQ141" i="15"/>
  <c r="AQ140" i="15"/>
  <c r="AQ139" i="15"/>
  <c r="AQ138" i="15"/>
  <c r="AQ137" i="15"/>
  <c r="AQ136" i="15"/>
  <c r="AQ135" i="15"/>
  <c r="AQ134" i="15"/>
  <c r="AQ133" i="15"/>
  <c r="AQ132" i="15"/>
  <c r="AQ131" i="15"/>
  <c r="AQ130" i="15"/>
  <c r="AQ129" i="15"/>
  <c r="AQ128" i="15"/>
  <c r="AQ127" i="15"/>
  <c r="AQ126" i="15"/>
  <c r="AQ125" i="15"/>
  <c r="AQ124" i="15"/>
  <c r="AQ123" i="15"/>
  <c r="AQ122" i="15"/>
  <c r="AQ121" i="15"/>
  <c r="AQ120" i="15"/>
  <c r="AQ119" i="15"/>
  <c r="AQ118" i="15"/>
  <c r="AQ117" i="15"/>
  <c r="AQ116" i="15"/>
  <c r="AQ115" i="15"/>
  <c r="AQ114" i="15"/>
  <c r="AF146" i="15" l="1"/>
  <c r="AF145" i="15"/>
  <c r="AF144" i="15"/>
  <c r="AF143" i="15"/>
  <c r="AF142" i="15"/>
  <c r="AF141" i="15"/>
  <c r="AF140" i="15"/>
  <c r="AF139" i="15"/>
  <c r="AF138" i="15"/>
  <c r="AF137" i="15"/>
  <c r="AF136" i="15"/>
  <c r="AF135" i="15"/>
  <c r="AF134" i="15"/>
  <c r="AF133" i="15"/>
  <c r="AF132" i="15"/>
  <c r="AF131" i="15"/>
  <c r="AF130" i="15"/>
  <c r="AF129" i="15"/>
  <c r="AF128" i="15"/>
  <c r="AF127" i="15"/>
  <c r="AF126" i="15"/>
  <c r="AF125" i="15"/>
  <c r="AF124" i="15"/>
  <c r="AF123" i="15"/>
  <c r="AF122" i="15"/>
  <c r="AF121" i="15"/>
  <c r="AF120" i="15"/>
  <c r="AF119" i="15"/>
  <c r="AF118" i="15"/>
  <c r="AF117" i="15"/>
  <c r="AF116" i="15"/>
  <c r="AF115" i="15"/>
  <c r="AF114" i="15"/>
  <c r="AP144" i="15"/>
  <c r="AP138" i="15"/>
  <c r="AP128" i="15"/>
  <c r="AP122" i="15"/>
  <c r="AO147" i="15"/>
  <c r="AN147" i="15"/>
  <c r="AM147" i="15"/>
  <c r="AM146" i="15"/>
  <c r="AM145" i="15"/>
  <c r="AM144" i="15"/>
  <c r="AM143" i="15"/>
  <c r="AM142" i="15"/>
  <c r="AM141" i="15"/>
  <c r="AM140" i="15"/>
  <c r="AM139" i="15"/>
  <c r="AM138" i="15"/>
  <c r="AM137" i="15"/>
  <c r="AM136" i="15"/>
  <c r="AM135" i="15"/>
  <c r="AM134" i="15"/>
  <c r="AM133" i="15"/>
  <c r="AM132" i="15"/>
  <c r="AM131" i="15"/>
  <c r="AM130" i="15"/>
  <c r="AM129" i="15"/>
  <c r="AM128" i="15"/>
  <c r="AM127" i="15"/>
  <c r="AM126" i="15"/>
  <c r="AM125" i="15"/>
  <c r="AM124" i="15"/>
  <c r="AM123" i="15"/>
  <c r="AM122" i="15"/>
  <c r="AM121" i="15"/>
  <c r="AM120" i="15"/>
  <c r="AM119" i="15"/>
  <c r="AM118" i="15"/>
  <c r="AM117" i="15"/>
  <c r="AM116" i="15"/>
  <c r="AM115" i="15"/>
  <c r="AM114" i="15"/>
  <c r="AL147" i="15"/>
  <c r="AK147" i="15"/>
  <c r="AK146" i="15"/>
  <c r="AK145" i="15"/>
  <c r="AK144" i="15"/>
  <c r="AK143" i="15"/>
  <c r="AK142" i="15"/>
  <c r="AK141" i="15"/>
  <c r="AK140" i="15"/>
  <c r="AK139" i="15"/>
  <c r="AK138" i="15"/>
  <c r="AK137" i="15"/>
  <c r="AK136" i="15"/>
  <c r="AK135" i="15"/>
  <c r="AK134" i="15"/>
  <c r="AK133" i="15"/>
  <c r="AK132" i="15"/>
  <c r="AK131" i="15"/>
  <c r="AK130" i="15"/>
  <c r="AK129" i="15"/>
  <c r="AK128" i="15"/>
  <c r="AK127" i="15"/>
  <c r="AK126" i="15"/>
  <c r="AK125" i="15"/>
  <c r="AK124" i="15"/>
  <c r="AK123" i="15"/>
  <c r="AK122" i="15"/>
  <c r="AK121" i="15"/>
  <c r="AK120" i="15"/>
  <c r="AK119" i="15"/>
  <c r="AK118" i="15"/>
  <c r="AK117" i="15"/>
  <c r="AJ147" i="15"/>
  <c r="AJ116" i="15"/>
  <c r="AJ115" i="15"/>
  <c r="AJ114" i="15"/>
  <c r="AI146" i="15"/>
  <c r="AI145" i="15"/>
  <c r="AI144" i="15"/>
  <c r="AI143" i="15"/>
  <c r="AI142" i="15"/>
  <c r="AI141" i="15"/>
  <c r="AI140" i="15"/>
  <c r="AP140" i="15" s="1"/>
  <c r="AI139" i="15"/>
  <c r="AI138" i="15"/>
  <c r="AI137" i="15"/>
  <c r="AI136" i="15"/>
  <c r="AI135" i="15"/>
  <c r="AI134" i="15"/>
  <c r="AI133" i="15"/>
  <c r="AI132" i="15"/>
  <c r="AI131" i="15"/>
  <c r="AI130" i="15"/>
  <c r="AI129" i="15"/>
  <c r="AI128" i="15"/>
  <c r="AI127" i="15"/>
  <c r="AI126" i="15"/>
  <c r="AI125" i="15"/>
  <c r="AI124" i="15"/>
  <c r="AP124" i="15" s="1"/>
  <c r="AI123" i="15"/>
  <c r="AI122" i="15"/>
  <c r="AI121" i="15"/>
  <c r="AI120" i="15"/>
  <c r="AI119" i="15"/>
  <c r="AI118" i="15"/>
  <c r="AI117" i="15"/>
  <c r="AI116" i="15"/>
  <c r="AI115" i="15"/>
  <c r="AI147" i="15" s="1"/>
  <c r="AI114" i="15"/>
  <c r="AH146" i="15"/>
  <c r="AP146" i="15" s="1"/>
  <c r="AH145" i="15"/>
  <c r="AP145" i="15" s="1"/>
  <c r="AH144" i="15"/>
  <c r="AH143" i="15"/>
  <c r="AH142" i="15"/>
  <c r="AP142" i="15" s="1"/>
  <c r="AH141" i="15"/>
  <c r="AP141" i="15" s="1"/>
  <c r="AH140" i="15"/>
  <c r="AH139" i="15"/>
  <c r="AH138" i="15"/>
  <c r="AH137" i="15"/>
  <c r="AP137" i="15" s="1"/>
  <c r="AH136" i="15"/>
  <c r="AP136" i="15" s="1"/>
  <c r="AH135" i="15"/>
  <c r="AH134" i="15"/>
  <c r="AP134" i="15" s="1"/>
  <c r="AH133" i="15"/>
  <c r="AP133" i="15" s="1"/>
  <c r="AH132" i="15"/>
  <c r="AP132" i="15" s="1"/>
  <c r="AH131" i="15"/>
  <c r="AH130" i="15"/>
  <c r="AP130" i="15" s="1"/>
  <c r="AH129" i="15"/>
  <c r="AP129" i="15" s="1"/>
  <c r="AH128" i="15"/>
  <c r="AH127" i="15"/>
  <c r="AH126" i="15"/>
  <c r="AP126" i="15" s="1"/>
  <c r="AH125" i="15"/>
  <c r="AP125" i="15" s="1"/>
  <c r="AH124" i="15"/>
  <c r="AH123" i="15"/>
  <c r="AH122" i="15"/>
  <c r="AH121" i="15"/>
  <c r="AP121" i="15" s="1"/>
  <c r="AH120" i="15"/>
  <c r="AP120" i="15" s="1"/>
  <c r="AH119" i="15"/>
  <c r="AH118" i="15"/>
  <c r="AP118" i="15" s="1"/>
  <c r="AH117" i="15"/>
  <c r="AP117" i="15" s="1"/>
  <c r="AH116" i="15"/>
  <c r="AP116" i="15" s="1"/>
  <c r="AH115" i="15"/>
  <c r="AP115" i="15" s="1"/>
  <c r="AH114" i="15"/>
  <c r="AH147" i="15" s="1"/>
  <c r="AG147" i="15"/>
  <c r="AG146" i="15"/>
  <c r="AG145" i="15"/>
  <c r="AG144" i="15"/>
  <c r="AG143" i="15"/>
  <c r="AG142" i="15"/>
  <c r="AG141" i="15"/>
  <c r="AG140" i="15"/>
  <c r="AG139" i="15"/>
  <c r="AG138" i="15"/>
  <c r="AG137" i="15"/>
  <c r="AG136" i="15"/>
  <c r="AG135" i="15"/>
  <c r="AG134" i="15"/>
  <c r="AG133" i="15"/>
  <c r="AG132" i="15"/>
  <c r="AG131" i="15"/>
  <c r="AG130" i="15"/>
  <c r="AG129" i="15"/>
  <c r="AG128" i="15"/>
  <c r="AG127" i="15"/>
  <c r="AG126" i="15"/>
  <c r="AG125" i="15"/>
  <c r="AG124" i="15"/>
  <c r="AG123" i="15"/>
  <c r="AG122" i="15"/>
  <c r="AG121" i="15"/>
  <c r="AG120" i="15"/>
  <c r="AG119" i="15"/>
  <c r="AG118" i="15"/>
  <c r="AG117" i="15"/>
  <c r="AG116" i="15"/>
  <c r="AG115" i="15"/>
  <c r="AG114" i="15"/>
  <c r="AP123" i="15" l="1"/>
  <c r="AP131" i="15"/>
  <c r="AP135" i="15"/>
  <c r="AP143" i="15"/>
  <c r="AP114" i="15"/>
  <c r="AP119" i="15"/>
  <c r="AP127" i="15"/>
  <c r="AP139" i="15"/>
  <c r="AF147" i="15"/>
  <c r="AD144" i="15"/>
  <c r="AE144" i="15" s="1"/>
  <c r="AR144" i="15" s="1"/>
  <c r="AD140" i="15"/>
  <c r="AE140" i="15" s="1"/>
  <c r="AR140" i="15" s="1"/>
  <c r="AD136" i="15"/>
  <c r="AE136" i="15" s="1"/>
  <c r="AR136" i="15" s="1"/>
  <c r="AD132" i="15"/>
  <c r="AE132" i="15" s="1"/>
  <c r="AR132" i="15" s="1"/>
  <c r="AD128" i="15"/>
  <c r="AE128" i="15" s="1"/>
  <c r="AR128" i="15" s="1"/>
  <c r="AD124" i="15"/>
  <c r="AE124" i="15" s="1"/>
  <c r="AR124" i="15" s="1"/>
  <c r="AD120" i="15"/>
  <c r="AE120" i="15" s="1"/>
  <c r="AR120" i="15" s="1"/>
  <c r="AD116" i="15"/>
  <c r="AE116" i="15" s="1"/>
  <c r="AR116" i="15" s="1"/>
  <c r="AC147" i="15"/>
  <c r="Z146" i="15"/>
  <c r="Y146" i="15"/>
  <c r="AD146" i="15" s="1"/>
  <c r="AE146" i="15" s="1"/>
  <c r="AR146" i="15" s="1"/>
  <c r="Z145" i="15"/>
  <c r="Y145" i="15"/>
  <c r="AD145" i="15" s="1"/>
  <c r="AE145" i="15" s="1"/>
  <c r="AR145" i="15" s="1"/>
  <c r="Z144" i="15"/>
  <c r="Y144" i="15"/>
  <c r="Z143" i="15"/>
  <c r="Y143" i="15"/>
  <c r="AD143" i="15" s="1"/>
  <c r="AE143" i="15" s="1"/>
  <c r="AR143" i="15" s="1"/>
  <c r="Z142" i="15"/>
  <c r="Y142" i="15"/>
  <c r="AD142" i="15" s="1"/>
  <c r="AE142" i="15" s="1"/>
  <c r="AR142" i="15" s="1"/>
  <c r="Z141" i="15"/>
  <c r="Y141" i="15"/>
  <c r="AD141" i="15" s="1"/>
  <c r="AE141" i="15" s="1"/>
  <c r="AR141" i="15" s="1"/>
  <c r="Z140" i="15"/>
  <c r="Y140" i="15"/>
  <c r="Z139" i="15"/>
  <c r="Y139" i="15"/>
  <c r="AD139" i="15" s="1"/>
  <c r="AE139" i="15" s="1"/>
  <c r="AR139" i="15" s="1"/>
  <c r="Z138" i="15"/>
  <c r="Y138" i="15"/>
  <c r="AD138" i="15" s="1"/>
  <c r="AE138" i="15" s="1"/>
  <c r="AR138" i="15" s="1"/>
  <c r="Z137" i="15"/>
  <c r="Y137" i="15"/>
  <c r="AD137" i="15" s="1"/>
  <c r="AE137" i="15" s="1"/>
  <c r="AR137" i="15" s="1"/>
  <c r="Z136" i="15"/>
  <c r="Y136" i="15"/>
  <c r="Z135" i="15"/>
  <c r="Y135" i="15"/>
  <c r="AD135" i="15" s="1"/>
  <c r="AE135" i="15" s="1"/>
  <c r="AR135" i="15" s="1"/>
  <c r="Z134" i="15"/>
  <c r="Y134" i="15"/>
  <c r="AD134" i="15" s="1"/>
  <c r="AE134" i="15" s="1"/>
  <c r="AR134" i="15" s="1"/>
  <c r="Z133" i="15"/>
  <c r="Y133" i="15"/>
  <c r="AD133" i="15" s="1"/>
  <c r="AE133" i="15" s="1"/>
  <c r="AR133" i="15" s="1"/>
  <c r="Z132" i="15"/>
  <c r="Y132" i="15"/>
  <c r="Z131" i="15"/>
  <c r="Y131" i="15"/>
  <c r="AD131" i="15" s="1"/>
  <c r="AE131" i="15" s="1"/>
  <c r="AR131" i="15" s="1"/>
  <c r="Z130" i="15"/>
  <c r="Y130" i="15"/>
  <c r="AD130" i="15" s="1"/>
  <c r="AE130" i="15" s="1"/>
  <c r="AR130" i="15" s="1"/>
  <c r="Z129" i="15"/>
  <c r="Y129" i="15"/>
  <c r="AD129" i="15" s="1"/>
  <c r="AE129" i="15" s="1"/>
  <c r="AR129" i="15" s="1"/>
  <c r="Z128" i="15"/>
  <c r="Y128" i="15"/>
  <c r="Z127" i="15"/>
  <c r="Y127" i="15"/>
  <c r="AD127" i="15" s="1"/>
  <c r="AE127" i="15" s="1"/>
  <c r="AR127" i="15" s="1"/>
  <c r="Z126" i="15"/>
  <c r="Y126" i="15"/>
  <c r="AD126" i="15" s="1"/>
  <c r="AE126" i="15" s="1"/>
  <c r="AR126" i="15" s="1"/>
  <c r="Z125" i="15"/>
  <c r="Y125" i="15"/>
  <c r="AD125" i="15" s="1"/>
  <c r="AE125" i="15" s="1"/>
  <c r="AR125" i="15" s="1"/>
  <c r="Z124" i="15"/>
  <c r="Y124" i="15"/>
  <c r="Z123" i="15"/>
  <c r="Y123" i="15"/>
  <c r="AD123" i="15" s="1"/>
  <c r="AE123" i="15" s="1"/>
  <c r="AR123" i="15" s="1"/>
  <c r="Z122" i="15"/>
  <c r="Y122" i="15"/>
  <c r="AD122" i="15" s="1"/>
  <c r="AE122" i="15" s="1"/>
  <c r="AR122" i="15" s="1"/>
  <c r="Z121" i="15"/>
  <c r="Y121" i="15"/>
  <c r="AD121" i="15" s="1"/>
  <c r="AE121" i="15" s="1"/>
  <c r="AR121" i="15" s="1"/>
  <c r="Z120" i="15"/>
  <c r="Y120" i="15"/>
  <c r="Z119" i="15"/>
  <c r="Y119" i="15"/>
  <c r="AD119" i="15" s="1"/>
  <c r="AE119" i="15" s="1"/>
  <c r="AR119" i="15" s="1"/>
  <c r="Z118" i="15"/>
  <c r="Y118" i="15"/>
  <c r="AD118" i="15" s="1"/>
  <c r="AE118" i="15" s="1"/>
  <c r="AR118" i="15" s="1"/>
  <c r="Z117" i="15"/>
  <c r="Y117" i="15"/>
  <c r="AD117" i="15" s="1"/>
  <c r="AE117" i="15" s="1"/>
  <c r="AR117" i="15" s="1"/>
  <c r="Z116" i="15"/>
  <c r="Y116" i="15"/>
  <c r="Z115" i="15"/>
  <c r="Z147" i="15" s="1"/>
  <c r="Y115" i="15"/>
  <c r="Y147" i="15" s="1"/>
  <c r="Z114" i="15"/>
  <c r="Y114" i="15"/>
  <c r="AD114" i="15" s="1"/>
  <c r="AB146" i="15"/>
  <c r="AB145" i="15"/>
  <c r="AB144" i="15"/>
  <c r="AB143" i="15"/>
  <c r="AB142" i="15"/>
  <c r="AB141" i="15"/>
  <c r="AB140" i="15"/>
  <c r="AB139" i="15"/>
  <c r="AB138" i="15"/>
  <c r="AB137" i="15"/>
  <c r="AB136" i="15"/>
  <c r="AB135" i="15"/>
  <c r="AB134" i="15"/>
  <c r="AB133" i="15"/>
  <c r="AB132" i="15"/>
  <c r="AB131" i="15"/>
  <c r="AB130" i="15"/>
  <c r="AB129" i="15"/>
  <c r="AB128" i="15"/>
  <c r="AB127" i="15"/>
  <c r="AB126" i="15"/>
  <c r="AB125" i="15"/>
  <c r="AB124" i="15"/>
  <c r="AB123" i="15"/>
  <c r="AB122" i="15"/>
  <c r="AB121" i="15"/>
  <c r="AB120" i="15"/>
  <c r="AB119" i="15"/>
  <c r="AB118" i="15"/>
  <c r="AB117" i="15"/>
  <c r="AB116" i="15"/>
  <c r="AB115" i="15"/>
  <c r="AB114" i="15"/>
  <c r="AA147" i="15"/>
  <c r="AA146" i="15"/>
  <c r="AA145" i="15"/>
  <c r="AA144" i="15"/>
  <c r="AA143" i="15"/>
  <c r="AA142" i="15"/>
  <c r="AA141" i="15"/>
  <c r="AA140" i="15"/>
  <c r="AA139" i="15"/>
  <c r="AA138" i="15"/>
  <c r="AA137" i="15"/>
  <c r="AA136" i="15"/>
  <c r="AA135" i="15"/>
  <c r="AA134" i="15"/>
  <c r="AA133" i="15"/>
  <c r="AA132" i="15"/>
  <c r="AA131" i="15"/>
  <c r="AA130" i="15"/>
  <c r="AA129" i="15"/>
  <c r="AA128" i="15"/>
  <c r="AA127" i="15"/>
  <c r="AA126" i="15"/>
  <c r="AA125" i="15"/>
  <c r="AA124" i="15"/>
  <c r="AA123" i="15"/>
  <c r="AA122" i="15"/>
  <c r="AA121" i="15"/>
  <c r="AA120" i="15"/>
  <c r="AA119" i="15"/>
  <c r="AA118" i="15"/>
  <c r="AA117" i="15"/>
  <c r="AA116" i="15"/>
  <c r="AA115" i="15"/>
  <c r="AA114" i="15"/>
  <c r="U147" i="15"/>
  <c r="V146" i="15"/>
  <c r="V145" i="15"/>
  <c r="V144" i="15"/>
  <c r="V143" i="15"/>
  <c r="V142" i="15"/>
  <c r="V141" i="15"/>
  <c r="V140" i="15"/>
  <c r="V139" i="15"/>
  <c r="V138" i="15"/>
  <c r="V137" i="15"/>
  <c r="V136" i="15"/>
  <c r="V135" i="15"/>
  <c r="V134" i="15"/>
  <c r="V133" i="15"/>
  <c r="V132" i="15"/>
  <c r="V131" i="15"/>
  <c r="V130" i="15"/>
  <c r="V129" i="15"/>
  <c r="V128" i="15"/>
  <c r="V127" i="15"/>
  <c r="V126" i="15"/>
  <c r="V125" i="15"/>
  <c r="V124" i="15"/>
  <c r="V123" i="15"/>
  <c r="V122" i="15"/>
  <c r="V121" i="15"/>
  <c r="V120" i="15"/>
  <c r="V119" i="15"/>
  <c r="V118" i="15"/>
  <c r="V117" i="15"/>
  <c r="V147" i="15" s="1"/>
  <c r="T147" i="15"/>
  <c r="AE114" i="15" l="1"/>
  <c r="AD115" i="15"/>
  <c r="AE115" i="15" s="1"/>
  <c r="AR115" i="15" s="1"/>
  <c r="AP147" i="15"/>
  <c r="AB147" i="15"/>
  <c r="AD147" i="15" l="1"/>
  <c r="AR114" i="15"/>
  <c r="AR147" i="15" s="1"/>
  <c r="AE147" i="15"/>
  <c r="AQ112" i="15"/>
  <c r="AM112" i="15" l="1"/>
  <c r="AI112" i="15"/>
  <c r="AH112" i="15" l="1"/>
  <c r="AG112" i="15"/>
  <c r="AF112" i="15"/>
  <c r="AP112" i="15" s="1"/>
  <c r="Z112" i="15" l="1"/>
  <c r="Y112" i="15"/>
  <c r="AD112" i="15" s="1"/>
  <c r="AE112" i="15" s="1"/>
  <c r="AR112" i="15" s="1"/>
  <c r="X112" i="15"/>
  <c r="AQ110" i="15" l="1"/>
  <c r="AQ109" i="15"/>
  <c r="AQ108" i="15"/>
  <c r="AM110" i="15" l="1"/>
  <c r="AM109" i="15"/>
  <c r="AM108" i="15"/>
  <c r="AF111" i="15" l="1"/>
  <c r="AL111" i="15"/>
  <c r="AK111" i="15"/>
  <c r="AJ111" i="15"/>
  <c r="AO111" i="15"/>
  <c r="AN111" i="15"/>
  <c r="AI110" i="15"/>
  <c r="AI108" i="15"/>
  <c r="AH110" i="15"/>
  <c r="AH108" i="15"/>
  <c r="AG110" i="15"/>
  <c r="AP110" i="15" s="1"/>
  <c r="AG109" i="15"/>
  <c r="AG108" i="15"/>
  <c r="AP108" i="15" s="1"/>
  <c r="AA110" i="15"/>
  <c r="AA111" i="15" s="1"/>
  <c r="AA109" i="15"/>
  <c r="AA108" i="15"/>
  <c r="Y108" i="15"/>
  <c r="AD108" i="15" s="1"/>
  <c r="Z110" i="15"/>
  <c r="Z108" i="15"/>
  <c r="V110" i="15"/>
  <c r="Y110" i="15" s="1"/>
  <c r="AD110" i="15" s="1"/>
  <c r="AE110" i="15" s="1"/>
  <c r="AR110" i="15" s="1"/>
  <c r="V109" i="15"/>
  <c r="AI109" i="15" s="1"/>
  <c r="AI111" i="15" s="1"/>
  <c r="V108" i="15"/>
  <c r="U110" i="15"/>
  <c r="U109" i="15"/>
  <c r="U108" i="15"/>
  <c r="T110" i="15"/>
  <c r="T109" i="15"/>
  <c r="T108" i="15"/>
  <c r="AE108" i="15" l="1"/>
  <c r="AG111" i="15"/>
  <c r="Y109" i="15"/>
  <c r="Z109" i="15"/>
  <c r="Z111" i="15" s="1"/>
  <c r="AH109" i="15"/>
  <c r="AH111" i="15" s="1"/>
  <c r="AM14" i="15"/>
  <c r="AM3" i="15"/>
  <c r="AD109" i="15" l="1"/>
  <c r="Y111" i="15"/>
  <c r="AP109" i="15"/>
  <c r="AR108" i="15"/>
  <c r="Y98" i="15"/>
  <c r="AA101" i="15"/>
  <c r="AB101" i="15"/>
  <c r="AF101" i="15"/>
  <c r="AE109" i="15" l="1"/>
  <c r="AD111" i="15"/>
  <c r="AJ101" i="15"/>
  <c r="AQ101" i="15"/>
  <c r="AM101" i="15"/>
  <c r="AR109" i="15" l="1"/>
  <c r="AE111" i="15"/>
  <c r="AK96" i="15"/>
  <c r="AK97" i="15"/>
  <c r="AK98" i="15"/>
  <c r="AK99" i="15"/>
  <c r="AK95" i="15"/>
  <c r="AK106" i="15" l="1"/>
  <c r="AK105" i="15"/>
  <c r="AK104" i="15"/>
  <c r="AK103" i="15"/>
  <c r="AQ106" i="15" l="1"/>
  <c r="AQ105" i="15"/>
  <c r="AQ104" i="15"/>
  <c r="AQ103" i="15"/>
  <c r="AQ107" i="15" s="1"/>
  <c r="AO107" i="15"/>
  <c r="AN107" i="15"/>
  <c r="AM106" i="15"/>
  <c r="AM105" i="15"/>
  <c r="AM104" i="15"/>
  <c r="AM107" i="15" s="1"/>
  <c r="AM103" i="15"/>
  <c r="AI106" i="15"/>
  <c r="AI105" i="15"/>
  <c r="AH106" i="15"/>
  <c r="AG106" i="15"/>
  <c r="AG105" i="15"/>
  <c r="AG104" i="15"/>
  <c r="AG103" i="15"/>
  <c r="AG107" i="15" s="1"/>
  <c r="AF105" i="15"/>
  <c r="AF104" i="15"/>
  <c r="AF106" i="15"/>
  <c r="AF103" i="15"/>
  <c r="V106" i="15"/>
  <c r="V104" i="15"/>
  <c r="AI104" i="15" s="1"/>
  <c r="V105" i="15"/>
  <c r="AH105" i="15" s="1"/>
  <c r="V103" i="15"/>
  <c r="AI103" i="15" s="1"/>
  <c r="AI107" i="15" l="1"/>
  <c r="AH103" i="15"/>
  <c r="AH104" i="15"/>
  <c r="AM111" i="15"/>
  <c r="AQ111" i="15"/>
  <c r="AF107" i="15"/>
  <c r="AB106" i="15"/>
  <c r="AB105" i="15"/>
  <c r="AB104" i="15"/>
  <c r="AB103" i="15"/>
  <c r="AB107" i="15" s="1"/>
  <c r="AA106" i="15"/>
  <c r="AA105" i="15"/>
  <c r="AA104" i="15"/>
  <c r="AA103" i="15"/>
  <c r="AA107" i="15" s="1"/>
  <c r="AH107" i="15" l="1"/>
  <c r="Z106" i="15"/>
  <c r="Z105" i="15"/>
  <c r="Z104" i="15"/>
  <c r="Z103" i="15"/>
  <c r="Y106" i="15"/>
  <c r="AD106" i="15" s="1"/>
  <c r="AE106" i="15" s="1"/>
  <c r="Y105" i="15"/>
  <c r="AD105" i="15" s="1"/>
  <c r="AE105" i="15" s="1"/>
  <c r="Y104" i="15"/>
  <c r="AD104" i="15" s="1"/>
  <c r="AE104" i="15" s="1"/>
  <c r="Y103" i="15"/>
  <c r="AK107" i="15"/>
  <c r="AK101" i="15"/>
  <c r="V107" i="15"/>
  <c r="U107" i="15"/>
  <c r="T107" i="15"/>
  <c r="AJ106" i="15"/>
  <c r="AP106" i="15" s="1"/>
  <c r="AJ105" i="15"/>
  <c r="AP105" i="15" s="1"/>
  <c r="AJ104" i="15"/>
  <c r="AP104" i="15" s="1"/>
  <c r="AR104" i="15" s="1"/>
  <c r="AJ103" i="15"/>
  <c r="AP103" i="15" s="1"/>
  <c r="AI101" i="15"/>
  <c r="AH101" i="15"/>
  <c r="AG99" i="15"/>
  <c r="AG98" i="15"/>
  <c r="AG97" i="15"/>
  <c r="AG96" i="15"/>
  <c r="AG95" i="15"/>
  <c r="AG101" i="15"/>
  <c r="AP101" i="15" s="1"/>
  <c r="Z101" i="15"/>
  <c r="Y101" i="15"/>
  <c r="AD101" i="15" s="1"/>
  <c r="AE101" i="15" s="1"/>
  <c r="AP107" i="15" l="1"/>
  <c r="AJ107" i="15"/>
  <c r="AR101" i="15"/>
  <c r="AR105" i="15"/>
  <c r="Y107" i="15"/>
  <c r="AD103" i="15"/>
  <c r="Z107" i="15"/>
  <c r="AR106" i="15"/>
  <c r="AP111" i="15"/>
  <c r="AQ48" i="15"/>
  <c r="AQ47" i="15"/>
  <c r="AQ99" i="15"/>
  <c r="AQ98" i="15"/>
  <c r="AQ97" i="15"/>
  <c r="AQ96" i="15"/>
  <c r="AQ100" i="15" s="1"/>
  <c r="AQ95" i="15"/>
  <c r="AO100" i="15"/>
  <c r="AN100" i="15"/>
  <c r="AL100" i="15"/>
  <c r="AM99" i="15"/>
  <c r="AM98" i="15"/>
  <c r="AM97" i="15"/>
  <c r="AM96" i="15"/>
  <c r="AM95" i="15"/>
  <c r="AM47" i="15"/>
  <c r="AM48" i="15"/>
  <c r="AM94" i="15" l="1"/>
  <c r="AM100" i="15"/>
  <c r="AE103" i="15"/>
  <c r="AD107" i="15"/>
  <c r="AQ94" i="15"/>
  <c r="AE107" i="15" l="1"/>
  <c r="AR103" i="15"/>
  <c r="AR107" i="15" s="1"/>
  <c r="AR111" i="15" s="1"/>
  <c r="AI96" i="15"/>
  <c r="AI99" i="15"/>
  <c r="AI98" i="15"/>
  <c r="AI97" i="15"/>
  <c r="AI95" i="15"/>
  <c r="AI100" i="15" s="1"/>
  <c r="AI92" i="15"/>
  <c r="AI93" i="15"/>
  <c r="AH99" i="15"/>
  <c r="AH98" i="15"/>
  <c r="AH97" i="15"/>
  <c r="AH96" i="15"/>
  <c r="AH95" i="15"/>
  <c r="AH100" i="15" s="1"/>
  <c r="AG100" i="15"/>
  <c r="AF96" i="15"/>
  <c r="AF99" i="15"/>
  <c r="AP99" i="15" s="1"/>
  <c r="AF98" i="15"/>
  <c r="AF97" i="15"/>
  <c r="AF95" i="15"/>
  <c r="AK100" i="15"/>
  <c r="AJ99" i="15"/>
  <c r="AJ98" i="15"/>
  <c r="AJ97" i="15"/>
  <c r="AJ96" i="15"/>
  <c r="AJ95" i="15"/>
  <c r="AJ100" i="15" s="1"/>
  <c r="AB99" i="15"/>
  <c r="AB98" i="15"/>
  <c r="AB97" i="15"/>
  <c r="AB96" i="15"/>
  <c r="AB95" i="15"/>
  <c r="AB100" i="15" s="1"/>
  <c r="AA99" i="15"/>
  <c r="AA98" i="15"/>
  <c r="AD98" i="15" s="1"/>
  <c r="AE98" i="15" s="1"/>
  <c r="AA97" i="15"/>
  <c r="AD97" i="15" s="1"/>
  <c r="AE97" i="15" s="1"/>
  <c r="AA96" i="15"/>
  <c r="AA95" i="15"/>
  <c r="AA100" i="15" s="1"/>
  <c r="Y99" i="15"/>
  <c r="AD99" i="15" s="1"/>
  <c r="AE99" i="15" s="1"/>
  <c r="Y97" i="15"/>
  <c r="Y96" i="15"/>
  <c r="AD96" i="15" s="1"/>
  <c r="AE96" i="15" s="1"/>
  <c r="Y95" i="15"/>
  <c r="Y100" i="15" s="1"/>
  <c r="Z99" i="15"/>
  <c r="Z98" i="15"/>
  <c r="Z97" i="15"/>
  <c r="Z96" i="15"/>
  <c r="Z100" i="15" s="1"/>
  <c r="Z95" i="15"/>
  <c r="V100" i="15"/>
  <c r="U100" i="15"/>
  <c r="T100" i="15"/>
  <c r="AP95" i="15" l="1"/>
  <c r="AD95" i="15"/>
  <c r="AP97" i="15"/>
  <c r="AR97" i="15" s="1"/>
  <c r="AF100" i="15"/>
  <c r="AR99" i="15"/>
  <c r="AP96" i="15"/>
  <c r="AR96" i="15" s="1"/>
  <c r="AP98" i="15"/>
  <c r="AR98" i="15" s="1"/>
  <c r="AK94" i="15"/>
  <c r="AK48" i="15"/>
  <c r="AK47" i="15"/>
  <c r="AJ48" i="15"/>
  <c r="AJ47" i="15"/>
  <c r="AI91" i="15"/>
  <c r="AI90" i="15"/>
  <c r="AI89" i="15"/>
  <c r="AI88" i="15"/>
  <c r="AI87" i="15"/>
  <c r="AI86" i="15"/>
  <c r="AI85" i="15"/>
  <c r="AI84" i="15"/>
  <c r="AI83" i="15"/>
  <c r="AI82" i="15"/>
  <c r="AI81" i="15"/>
  <c r="AI80" i="15"/>
  <c r="AI79" i="15"/>
  <c r="AI78" i="15"/>
  <c r="AI77" i="15"/>
  <c r="AI76" i="15"/>
  <c r="AI75" i="15"/>
  <c r="AI74" i="15"/>
  <c r="AI73" i="15"/>
  <c r="AI72" i="15"/>
  <c r="AI71" i="15"/>
  <c r="AI70" i="15"/>
  <c r="AI69" i="15"/>
  <c r="AI68" i="15"/>
  <c r="AI67" i="15"/>
  <c r="AI66" i="15"/>
  <c r="AI65" i="15"/>
  <c r="AI64" i="15"/>
  <c r="AI63" i="15"/>
  <c r="AI62" i="15"/>
  <c r="AI61" i="15"/>
  <c r="AI60" i="15"/>
  <c r="AI59" i="15"/>
  <c r="AI58" i="15"/>
  <c r="AI57" i="15"/>
  <c r="AI56" i="15"/>
  <c r="AI55" i="15"/>
  <c r="AI54" i="15"/>
  <c r="AI53" i="15"/>
  <c r="AI52" i="15"/>
  <c r="AI51" i="15"/>
  <c r="AI50" i="15"/>
  <c r="AI49" i="15"/>
  <c r="AI48" i="15"/>
  <c r="AI47" i="15"/>
  <c r="AI94" i="15" s="1"/>
  <c r="AH93" i="15"/>
  <c r="AH92" i="15"/>
  <c r="AH91" i="15"/>
  <c r="AH90" i="15"/>
  <c r="AH89" i="15"/>
  <c r="AH88" i="15"/>
  <c r="AH87" i="15"/>
  <c r="AH86" i="15"/>
  <c r="AH85" i="15"/>
  <c r="AH84" i="15"/>
  <c r="AH83" i="15"/>
  <c r="AH82" i="15"/>
  <c r="AH81" i="15"/>
  <c r="AH80" i="15"/>
  <c r="AH79" i="15"/>
  <c r="AH78" i="15"/>
  <c r="AH77" i="15"/>
  <c r="AH76" i="15"/>
  <c r="AH75" i="15"/>
  <c r="AH74" i="15"/>
  <c r="AH73" i="15"/>
  <c r="AH72" i="15"/>
  <c r="AH71" i="15"/>
  <c r="AH70" i="15"/>
  <c r="AH69" i="15"/>
  <c r="AH68" i="15"/>
  <c r="AH67" i="15"/>
  <c r="AH66" i="15"/>
  <c r="AH65" i="15"/>
  <c r="AH64" i="15"/>
  <c r="AH63" i="15"/>
  <c r="AH62" i="15"/>
  <c r="AH61" i="15"/>
  <c r="AH60" i="15"/>
  <c r="AH59" i="15"/>
  <c r="AH58" i="15"/>
  <c r="AH57" i="15"/>
  <c r="AH56" i="15"/>
  <c r="AH55" i="15"/>
  <c r="AH54" i="15"/>
  <c r="AH53" i="15"/>
  <c r="AH52" i="15"/>
  <c r="AH51" i="15"/>
  <c r="AH50" i="15"/>
  <c r="AH49" i="15"/>
  <c r="AH94" i="15" s="1"/>
  <c r="AH48" i="15"/>
  <c r="AH47" i="15"/>
  <c r="AH41" i="15"/>
  <c r="AD47" i="15"/>
  <c r="AE47" i="15" s="1"/>
  <c r="Y48" i="15"/>
  <c r="AD48" i="15" s="1"/>
  <c r="AE48" i="15" s="1"/>
  <c r="Y47" i="15"/>
  <c r="X93" i="15"/>
  <c r="X92" i="15"/>
  <c r="X91" i="15"/>
  <c r="Y91" i="15" s="1"/>
  <c r="AD91" i="15" s="1"/>
  <c r="AE91" i="15" s="1"/>
  <c r="X90" i="15"/>
  <c r="X89" i="15"/>
  <c r="Y89" i="15" s="1"/>
  <c r="X88" i="15"/>
  <c r="Y88" i="15" s="1"/>
  <c r="X87" i="15"/>
  <c r="Y87" i="15" s="1"/>
  <c r="AD87" i="15" s="1"/>
  <c r="AE87" i="15" s="1"/>
  <c r="X86" i="15"/>
  <c r="X85" i="15"/>
  <c r="X84" i="15"/>
  <c r="X83" i="15"/>
  <c r="Y83" i="15" s="1"/>
  <c r="AD83" i="15" s="1"/>
  <c r="AE83" i="15" s="1"/>
  <c r="X82" i="15"/>
  <c r="X81" i="15"/>
  <c r="Y81" i="15" s="1"/>
  <c r="X80" i="15"/>
  <c r="Y80" i="15" s="1"/>
  <c r="X79" i="15"/>
  <c r="Y79" i="15" s="1"/>
  <c r="AD79" i="15" s="1"/>
  <c r="AE79" i="15" s="1"/>
  <c r="X78" i="15"/>
  <c r="X77" i="15"/>
  <c r="X76" i="15"/>
  <c r="X75" i="15"/>
  <c r="Y75" i="15" s="1"/>
  <c r="AD75" i="15" s="1"/>
  <c r="AE75" i="15" s="1"/>
  <c r="X74" i="15"/>
  <c r="X73" i="15"/>
  <c r="Y73" i="15" s="1"/>
  <c r="X72" i="15"/>
  <c r="Y72" i="15" s="1"/>
  <c r="X71" i="15"/>
  <c r="Y71" i="15" s="1"/>
  <c r="AD71" i="15" s="1"/>
  <c r="AE71" i="15" s="1"/>
  <c r="X70" i="15"/>
  <c r="X69" i="15"/>
  <c r="X68" i="15"/>
  <c r="Y68" i="15" s="1"/>
  <c r="X67" i="15"/>
  <c r="Y67" i="15" s="1"/>
  <c r="AD67" i="15" s="1"/>
  <c r="AE67" i="15" s="1"/>
  <c r="X66" i="15"/>
  <c r="X65" i="15"/>
  <c r="Y65" i="15" s="1"/>
  <c r="X64" i="15"/>
  <c r="X63" i="15"/>
  <c r="Y63" i="15" s="1"/>
  <c r="AD63" i="15" s="1"/>
  <c r="AE63" i="15" s="1"/>
  <c r="X62" i="15"/>
  <c r="X61" i="15"/>
  <c r="X60" i="15"/>
  <c r="Y60" i="15" s="1"/>
  <c r="X59" i="15"/>
  <c r="Y59" i="15" s="1"/>
  <c r="AD59" i="15" s="1"/>
  <c r="AE59" i="15" s="1"/>
  <c r="X58" i="15"/>
  <c r="X57" i="15"/>
  <c r="Y57" i="15" s="1"/>
  <c r="X56" i="15"/>
  <c r="X55" i="15"/>
  <c r="Y55" i="15" s="1"/>
  <c r="AD55" i="15" s="1"/>
  <c r="AE55" i="15" s="1"/>
  <c r="X54" i="15"/>
  <c r="X53" i="15"/>
  <c r="X52" i="15"/>
  <c r="Y52" i="15" s="1"/>
  <c r="X51" i="15"/>
  <c r="Y51" i="15" s="1"/>
  <c r="AD51" i="15" s="1"/>
  <c r="AE51" i="15" s="1"/>
  <c r="X50" i="15"/>
  <c r="X49" i="15"/>
  <c r="Y49" i="15" s="1"/>
  <c r="AB48" i="15"/>
  <c r="AB47" i="15"/>
  <c r="AA48" i="15"/>
  <c r="AA47" i="15"/>
  <c r="V94" i="15"/>
  <c r="Z93" i="15"/>
  <c r="Z92" i="15"/>
  <c r="Z91" i="15"/>
  <c r="Z90" i="15"/>
  <c r="Z89" i="15"/>
  <c r="Z88" i="15"/>
  <c r="Z87" i="15"/>
  <c r="Z86" i="15"/>
  <c r="Z85" i="15"/>
  <c r="Z84" i="15"/>
  <c r="Z83" i="15"/>
  <c r="Z82" i="15"/>
  <c r="Z81" i="15"/>
  <c r="Z80" i="15"/>
  <c r="Z79" i="15"/>
  <c r="Z78" i="15"/>
  <c r="Z77" i="15"/>
  <c r="Z76" i="15"/>
  <c r="Z75" i="15"/>
  <c r="Z74" i="15"/>
  <c r="Z73" i="15"/>
  <c r="Z72" i="15"/>
  <c r="Z71" i="15"/>
  <c r="Z70" i="15"/>
  <c r="Z69" i="15"/>
  <c r="Z68" i="15"/>
  <c r="Z67" i="15"/>
  <c r="Z66" i="15"/>
  <c r="Z65" i="15"/>
  <c r="Z64" i="15"/>
  <c r="Z63" i="15"/>
  <c r="Z62" i="15"/>
  <c r="Z61" i="15"/>
  <c r="Z60" i="15"/>
  <c r="Z59" i="15"/>
  <c r="Z58" i="15"/>
  <c r="Z57" i="15"/>
  <c r="Z56" i="15"/>
  <c r="Z55" i="15"/>
  <c r="Z54" i="15"/>
  <c r="Z53" i="15"/>
  <c r="Z52" i="15"/>
  <c r="Z51" i="15"/>
  <c r="Z50" i="15"/>
  <c r="Z49" i="15"/>
  <c r="Z48" i="15"/>
  <c r="Z47" i="15"/>
  <c r="Z94" i="15" s="1"/>
  <c r="AR51" i="15" l="1"/>
  <c r="AR63" i="15"/>
  <c r="AR91" i="15"/>
  <c r="AD82" i="15"/>
  <c r="AE82" i="15" s="1"/>
  <c r="AR82" i="15" s="1"/>
  <c r="AR67" i="15"/>
  <c r="AR83" i="15"/>
  <c r="AD58" i="15"/>
  <c r="AE58" i="15" s="1"/>
  <c r="AD66" i="15"/>
  <c r="AE66" i="15" s="1"/>
  <c r="AR66" i="15" s="1"/>
  <c r="AD90" i="15"/>
  <c r="AE90" i="15" s="1"/>
  <c r="AR59" i="15"/>
  <c r="AD53" i="15"/>
  <c r="AE53" i="15" s="1"/>
  <c r="AD61" i="15"/>
  <c r="AE61" i="15" s="1"/>
  <c r="AD85" i="15"/>
  <c r="AE85" i="15" s="1"/>
  <c r="AD93" i="15"/>
  <c r="AE93" i="15" s="1"/>
  <c r="Y56" i="15"/>
  <c r="AD56" i="15" s="1"/>
  <c r="AE56" i="15" s="1"/>
  <c r="AR56" i="15" s="1"/>
  <c r="Y53" i="15"/>
  <c r="Y61" i="15"/>
  <c r="Y69" i="15"/>
  <c r="AD69" i="15" s="1"/>
  <c r="AE69" i="15" s="1"/>
  <c r="AR69" i="15" s="1"/>
  <c r="Y77" i="15"/>
  <c r="AD77" i="15" s="1"/>
  <c r="AE77" i="15" s="1"/>
  <c r="AR77" i="15" s="1"/>
  <c r="Y85" i="15"/>
  <c r="Y93" i="15"/>
  <c r="AD52" i="15"/>
  <c r="AE52" i="15" s="1"/>
  <c r="AR52" i="15" s="1"/>
  <c r="AD60" i="15"/>
  <c r="AE60" i="15" s="1"/>
  <c r="AD68" i="15"/>
  <c r="AE68" i="15" s="1"/>
  <c r="AR68" i="15" s="1"/>
  <c r="AD72" i="15"/>
  <c r="AE72" i="15" s="1"/>
  <c r="AR72" i="15" s="1"/>
  <c r="AD80" i="15"/>
  <c r="AE80" i="15" s="1"/>
  <c r="AR80" i="15" s="1"/>
  <c r="AD88" i="15"/>
  <c r="AE88" i="15" s="1"/>
  <c r="X94" i="15"/>
  <c r="Y50" i="15"/>
  <c r="AD50" i="15" s="1"/>
  <c r="Y54" i="15"/>
  <c r="AD54" i="15" s="1"/>
  <c r="AE54" i="15" s="1"/>
  <c r="AR54" i="15" s="1"/>
  <c r="Y58" i="15"/>
  <c r="Y62" i="15"/>
  <c r="AD62" i="15" s="1"/>
  <c r="AE62" i="15" s="1"/>
  <c r="AR62" i="15" s="1"/>
  <c r="Y66" i="15"/>
  <c r="Y70" i="15"/>
  <c r="AD70" i="15" s="1"/>
  <c r="AE70" i="15" s="1"/>
  <c r="AR70" i="15" s="1"/>
  <c r="Y74" i="15"/>
  <c r="AD74" i="15" s="1"/>
  <c r="AE74" i="15" s="1"/>
  <c r="AR74" i="15" s="1"/>
  <c r="Y78" i="15"/>
  <c r="AD78" i="15" s="1"/>
  <c r="AE78" i="15" s="1"/>
  <c r="AR78" i="15" s="1"/>
  <c r="Y82" i="15"/>
  <c r="Y86" i="15"/>
  <c r="AD86" i="15" s="1"/>
  <c r="AE86" i="15" s="1"/>
  <c r="AR86" i="15" s="1"/>
  <c r="Y90" i="15"/>
  <c r="AD49" i="15"/>
  <c r="AE49" i="15" s="1"/>
  <c r="AD57" i="15"/>
  <c r="AE57" i="15" s="1"/>
  <c r="AD65" i="15"/>
  <c r="AE65" i="15" s="1"/>
  <c r="AD73" i="15"/>
  <c r="AE73" i="15" s="1"/>
  <c r="AD81" i="15"/>
  <c r="AE81" i="15" s="1"/>
  <c r="AD89" i="15"/>
  <c r="AE89" i="15" s="1"/>
  <c r="AD100" i="15"/>
  <c r="AE95" i="15"/>
  <c r="Y64" i="15"/>
  <c r="AD64" i="15" s="1"/>
  <c r="AE64" i="15" s="1"/>
  <c r="AR64" i="15" s="1"/>
  <c r="Y76" i="15"/>
  <c r="AD76" i="15" s="1"/>
  <c r="AE76" i="15" s="1"/>
  <c r="AR76" i="15" s="1"/>
  <c r="Y84" i="15"/>
  <c r="AD84" i="15" s="1"/>
  <c r="AE84" i="15" s="1"/>
  <c r="AR84" i="15" s="1"/>
  <c r="Y92" i="15"/>
  <c r="AD92" i="15" s="1"/>
  <c r="AE92" i="15" s="1"/>
  <c r="AR92" i="15" s="1"/>
  <c r="AP100" i="15"/>
  <c r="AO94" i="15"/>
  <c r="AN94" i="15"/>
  <c r="AL94" i="15"/>
  <c r="AK22" i="15"/>
  <c r="AK23" i="15"/>
  <c r="AK24" i="15"/>
  <c r="AK25" i="15"/>
  <c r="AK26" i="15"/>
  <c r="AK27" i="15"/>
  <c r="AK28" i="15"/>
  <c r="AK29" i="15"/>
  <c r="AK30" i="15"/>
  <c r="AK31" i="15"/>
  <c r="AK32" i="15"/>
  <c r="AK33" i="15"/>
  <c r="AK34" i="15"/>
  <c r="AK35" i="15"/>
  <c r="AK36" i="15"/>
  <c r="AK37" i="15"/>
  <c r="AK38" i="15"/>
  <c r="AK39" i="15"/>
  <c r="AK12" i="15"/>
  <c r="AK11" i="15"/>
  <c r="AK10" i="15"/>
  <c r="AK9" i="15"/>
  <c r="AK7" i="15"/>
  <c r="AK6" i="15"/>
  <c r="AJ94" i="15"/>
  <c r="AG93" i="15"/>
  <c r="AP93" i="15" s="1"/>
  <c r="AG92" i="15"/>
  <c r="AP92" i="15" s="1"/>
  <c r="AG91" i="15"/>
  <c r="AP91" i="15" s="1"/>
  <c r="AG90" i="15"/>
  <c r="AP90" i="15" s="1"/>
  <c r="AG89" i="15"/>
  <c r="AP89" i="15" s="1"/>
  <c r="AG88" i="15"/>
  <c r="AP88" i="15" s="1"/>
  <c r="AG87" i="15"/>
  <c r="AP87" i="15" s="1"/>
  <c r="AR87" i="15" s="1"/>
  <c r="AG86" i="15"/>
  <c r="AP86" i="15" s="1"/>
  <c r="AG85" i="15"/>
  <c r="AP85" i="15" s="1"/>
  <c r="AG84" i="15"/>
  <c r="AP84" i="15" s="1"/>
  <c r="AG83" i="15"/>
  <c r="AP83" i="15" s="1"/>
  <c r="AG82" i="15"/>
  <c r="AP82" i="15" s="1"/>
  <c r="AG81" i="15"/>
  <c r="AP81" i="15" s="1"/>
  <c r="AG80" i="15"/>
  <c r="AP80" i="15" s="1"/>
  <c r="AG79" i="15"/>
  <c r="AP79" i="15" s="1"/>
  <c r="AR79" i="15" s="1"/>
  <c r="AG78" i="15"/>
  <c r="AP78" i="15" s="1"/>
  <c r="AG77" i="15"/>
  <c r="AP77" i="15" s="1"/>
  <c r="AG76" i="15"/>
  <c r="AP76" i="15" s="1"/>
  <c r="AG75" i="15"/>
  <c r="AP75" i="15" s="1"/>
  <c r="AR75" i="15" s="1"/>
  <c r="AG74" i="15"/>
  <c r="AP74" i="15" s="1"/>
  <c r="AG73" i="15"/>
  <c r="AP73" i="15" s="1"/>
  <c r="AG72" i="15"/>
  <c r="AP72" i="15" s="1"/>
  <c r="AG71" i="15"/>
  <c r="AP71" i="15" s="1"/>
  <c r="AR71" i="15" s="1"/>
  <c r="AG70" i="15"/>
  <c r="AP70" i="15" s="1"/>
  <c r="AG69" i="15"/>
  <c r="AP69" i="15" s="1"/>
  <c r="AG68" i="15"/>
  <c r="AP68" i="15" s="1"/>
  <c r="AG67" i="15"/>
  <c r="AP67" i="15" s="1"/>
  <c r="AG66" i="15"/>
  <c r="AP66" i="15" s="1"/>
  <c r="AG65" i="15"/>
  <c r="AP65" i="15" s="1"/>
  <c r="AG64" i="15"/>
  <c r="AP64" i="15" s="1"/>
  <c r="AG63" i="15"/>
  <c r="AP63" i="15" s="1"/>
  <c r="AG62" i="15"/>
  <c r="AP62" i="15" s="1"/>
  <c r="AG61" i="15"/>
  <c r="AP61" i="15" s="1"/>
  <c r="AG60" i="15"/>
  <c r="AP60" i="15" s="1"/>
  <c r="AG59" i="15"/>
  <c r="AP59" i="15" s="1"/>
  <c r="AG58" i="15"/>
  <c r="AP58" i="15" s="1"/>
  <c r="AG57" i="15"/>
  <c r="AP57" i="15" s="1"/>
  <c r="AG56" i="15"/>
  <c r="AP56" i="15" s="1"/>
  <c r="AG55" i="15"/>
  <c r="AP55" i="15" s="1"/>
  <c r="AR55" i="15" s="1"/>
  <c r="AG54" i="15"/>
  <c r="AP54" i="15" s="1"/>
  <c r="AG53" i="15"/>
  <c r="AP53" i="15" s="1"/>
  <c r="AG52" i="15"/>
  <c r="AP52" i="15" s="1"/>
  <c r="AG51" i="15"/>
  <c r="AP51" i="15" s="1"/>
  <c r="AG50" i="15"/>
  <c r="AP50" i="15" s="1"/>
  <c r="AG49" i="15"/>
  <c r="AP49" i="15" s="1"/>
  <c r="AG47" i="15"/>
  <c r="AG48" i="15"/>
  <c r="AF48" i="15"/>
  <c r="AF47" i="15"/>
  <c r="AP47" i="15" s="1"/>
  <c r="AR47" i="15" s="1"/>
  <c r="AC94" i="15"/>
  <c r="T94" i="15"/>
  <c r="U94" i="15"/>
  <c r="AB94" i="15"/>
  <c r="AA94" i="15"/>
  <c r="AE50" i="15" l="1"/>
  <c r="AD94" i="15"/>
  <c r="AP94" i="15"/>
  <c r="AR65" i="15"/>
  <c r="AR93" i="15"/>
  <c r="AR61" i="15"/>
  <c r="AF94" i="15"/>
  <c r="AP48" i="15"/>
  <c r="AR48" i="15" s="1"/>
  <c r="AR89" i="15"/>
  <c r="AR57" i="15"/>
  <c r="AR85" i="15"/>
  <c r="AR53" i="15"/>
  <c r="AR90" i="15"/>
  <c r="AR58" i="15"/>
  <c r="AR81" i="15"/>
  <c r="AR49" i="15"/>
  <c r="AR95" i="15"/>
  <c r="AR100" i="15" s="1"/>
  <c r="AE100" i="15"/>
  <c r="AR73" i="15"/>
  <c r="AR88" i="15"/>
  <c r="AR60" i="15"/>
  <c r="Y94" i="15"/>
  <c r="AG94" i="15"/>
  <c r="AG37" i="15"/>
  <c r="AF21" i="15"/>
  <c r="AF20" i="15"/>
  <c r="AF18" i="15"/>
  <c r="AF17" i="15"/>
  <c r="AF16" i="15"/>
  <c r="AF15" i="15"/>
  <c r="AF14" i="15"/>
  <c r="AF39" i="15"/>
  <c r="AF38" i="15"/>
  <c r="AF37" i="15"/>
  <c r="AF36" i="15"/>
  <c r="AF35" i="15"/>
  <c r="AF34" i="15"/>
  <c r="AF33" i="15"/>
  <c r="AF32" i="15"/>
  <c r="AF31" i="15"/>
  <c r="AF30" i="15"/>
  <c r="AF29" i="15"/>
  <c r="AF28" i="15"/>
  <c r="AF27" i="15"/>
  <c r="AF26" i="15"/>
  <c r="AF25" i="15"/>
  <c r="AF24" i="15"/>
  <c r="AF23" i="15"/>
  <c r="AF22" i="15"/>
  <c r="AF19" i="15"/>
  <c r="AR94" i="15" l="1"/>
  <c r="AE94" i="15"/>
  <c r="AR50" i="15"/>
  <c r="AF40" i="15"/>
  <c r="AM39" i="15"/>
  <c r="AM38" i="15"/>
  <c r="AM37" i="15"/>
  <c r="AM36" i="15"/>
  <c r="AM35" i="15"/>
  <c r="AM34" i="15"/>
  <c r="AM33" i="15"/>
  <c r="AM32" i="15"/>
  <c r="AM31" i="15"/>
  <c r="AM30" i="15"/>
  <c r="AM29" i="15"/>
  <c r="AM28" i="15"/>
  <c r="AM27" i="15"/>
  <c r="AM26" i="15"/>
  <c r="AM25" i="15"/>
  <c r="AM24" i="15"/>
  <c r="AM23" i="15"/>
  <c r="AM40" i="15" s="1"/>
  <c r="AM22" i="15"/>
  <c r="AM21" i="15"/>
  <c r="AM19" i="15"/>
  <c r="AM18" i="15"/>
  <c r="AM17" i="15"/>
  <c r="AM16" i="15"/>
  <c r="AM15" i="15"/>
  <c r="AM20" i="15"/>
  <c r="AQ45" i="15" l="1"/>
  <c r="AQ44" i="15"/>
  <c r="AQ43" i="15"/>
  <c r="AQ42" i="15"/>
  <c r="AQ46" i="15" s="1"/>
  <c r="AQ41" i="15"/>
  <c r="AM45" i="15" l="1"/>
  <c r="AM44" i="15"/>
  <c r="AM43" i="15"/>
  <c r="AM42" i="15"/>
  <c r="AM41" i="15"/>
  <c r="AM46" i="15" s="1"/>
  <c r="AI45" i="15"/>
  <c r="AI44" i="15"/>
  <c r="AI43" i="15"/>
  <c r="AI42" i="15"/>
  <c r="AI46" i="15" s="1"/>
  <c r="AI41" i="15"/>
  <c r="AH45" i="15"/>
  <c r="AH44" i="15"/>
  <c r="AH43" i="15"/>
  <c r="AH42" i="15"/>
  <c r="AH46" i="15" s="1"/>
  <c r="AG45" i="15"/>
  <c r="AP45" i="15" s="1"/>
  <c r="AG44" i="15"/>
  <c r="AG43" i="15"/>
  <c r="AP43" i="15" s="1"/>
  <c r="AG42" i="15"/>
  <c r="AG41" i="15"/>
  <c r="AP41" i="15" s="1"/>
  <c r="T46" i="15"/>
  <c r="U46" i="15"/>
  <c r="V46" i="15"/>
  <c r="AA45" i="15"/>
  <c r="AA44" i="15"/>
  <c r="AA43" i="15"/>
  <c r="AA42" i="15"/>
  <c r="AA41" i="15"/>
  <c r="AA46" i="15" s="1"/>
  <c r="Y42" i="15"/>
  <c r="X44" i="15"/>
  <c r="X43" i="15"/>
  <c r="X45" i="15"/>
  <c r="Y45" i="15" s="1"/>
  <c r="X42" i="15"/>
  <c r="X41" i="15"/>
  <c r="X46" i="15" s="1"/>
  <c r="Z45" i="15"/>
  <c r="Z44" i="15"/>
  <c r="Z43" i="15"/>
  <c r="Z42" i="15"/>
  <c r="AD42" i="15" s="1"/>
  <c r="AE42" i="15" s="1"/>
  <c r="Z41" i="15"/>
  <c r="Z46" i="15" s="1"/>
  <c r="Y44" i="15" l="1"/>
  <c r="AD44" i="15" s="1"/>
  <c r="AE44" i="15" s="1"/>
  <c r="AR44" i="15" s="1"/>
  <c r="Y43" i="15"/>
  <c r="AD43" i="15" s="1"/>
  <c r="AE43" i="15" s="1"/>
  <c r="AR43" i="15" s="1"/>
  <c r="AD45" i="15"/>
  <c r="AE45" i="15" s="1"/>
  <c r="AR45" i="15" s="1"/>
  <c r="AP44" i="15"/>
  <c r="Y41" i="15"/>
  <c r="AD41" i="15" s="1"/>
  <c r="AP42" i="15"/>
  <c r="AP46" i="15" s="1"/>
  <c r="AG46" i="15"/>
  <c r="AQ39" i="15"/>
  <c r="AQ38" i="15"/>
  <c r="AQ37" i="15"/>
  <c r="AQ36" i="15"/>
  <c r="AQ35" i="15"/>
  <c r="AQ34" i="15"/>
  <c r="AQ33" i="15"/>
  <c r="AQ32" i="15"/>
  <c r="AQ31" i="15"/>
  <c r="AQ30" i="15"/>
  <c r="AQ29" i="15"/>
  <c r="AQ28" i="15"/>
  <c r="AQ27" i="15"/>
  <c r="AQ26" i="15"/>
  <c r="AQ25" i="15"/>
  <c r="AQ24" i="15"/>
  <c r="AQ23" i="15"/>
  <c r="AQ22" i="15"/>
  <c r="AQ21" i="15"/>
  <c r="AQ20" i="15"/>
  <c r="AQ19" i="15"/>
  <c r="AQ18" i="15"/>
  <c r="AQ17" i="15"/>
  <c r="AQ16" i="15"/>
  <c r="AQ14" i="15"/>
  <c r="AQ15" i="15"/>
  <c r="AI39" i="15"/>
  <c r="AI38" i="15"/>
  <c r="AI37" i="15"/>
  <c r="AI36" i="15"/>
  <c r="AI35" i="15"/>
  <c r="AI34" i="15"/>
  <c r="AI33" i="15"/>
  <c r="AI32" i="15"/>
  <c r="AI31" i="15"/>
  <c r="AI30" i="15"/>
  <c r="AI29" i="15"/>
  <c r="AI28" i="15"/>
  <c r="AI27" i="15"/>
  <c r="AI26" i="15"/>
  <c r="AI25" i="15"/>
  <c r="AI24" i="15"/>
  <c r="AI23" i="15"/>
  <c r="AI22" i="15"/>
  <c r="AI21" i="15"/>
  <c r="AI20" i="15"/>
  <c r="AI19" i="15"/>
  <c r="AI18" i="15"/>
  <c r="AI17" i="15"/>
  <c r="AI16" i="15"/>
  <c r="AI15" i="15"/>
  <c r="AI14" i="15"/>
  <c r="AH39" i="15"/>
  <c r="AH38" i="15"/>
  <c r="AH37" i="15"/>
  <c r="AH36" i="15"/>
  <c r="AH35" i="15"/>
  <c r="AH34" i="15"/>
  <c r="AH33" i="15"/>
  <c r="AH32" i="15"/>
  <c r="AH31" i="15"/>
  <c r="AH30" i="15"/>
  <c r="AH29" i="15"/>
  <c r="AH28" i="15"/>
  <c r="AH27" i="15"/>
  <c r="AH26" i="15"/>
  <c r="AH25" i="15"/>
  <c r="AH24" i="15"/>
  <c r="AH23" i="15"/>
  <c r="AH22" i="15"/>
  <c r="AH21" i="15"/>
  <c r="AH20" i="15"/>
  <c r="AH19" i="15"/>
  <c r="AH18" i="15"/>
  <c r="AH17" i="15"/>
  <c r="AH16" i="15"/>
  <c r="AH15" i="15"/>
  <c r="AH14" i="15"/>
  <c r="V40" i="15"/>
  <c r="Y39" i="15"/>
  <c r="Y38" i="15"/>
  <c r="Y37" i="15"/>
  <c r="Y36" i="15"/>
  <c r="Y35" i="15"/>
  <c r="Y34" i="15"/>
  <c r="Y33" i="15"/>
  <c r="Y32" i="15"/>
  <c r="Y31" i="15"/>
  <c r="Y30" i="15"/>
  <c r="Y29" i="15"/>
  <c r="Y28" i="15"/>
  <c r="Y27" i="15"/>
  <c r="Y26" i="15"/>
  <c r="Y25" i="15"/>
  <c r="Y24" i="15"/>
  <c r="Y23" i="15"/>
  <c r="Y22" i="15"/>
  <c r="Y21" i="15"/>
  <c r="Y20" i="15"/>
  <c r="Y19" i="15"/>
  <c r="Y18" i="15"/>
  <c r="Y17" i="15"/>
  <c r="Y16" i="15"/>
  <c r="Y15" i="15"/>
  <c r="Y14" i="15"/>
  <c r="Z39" i="15"/>
  <c r="Z38" i="15"/>
  <c r="Z37" i="15"/>
  <c r="Z36" i="15"/>
  <c r="Z35" i="15"/>
  <c r="Z34" i="15"/>
  <c r="Z33" i="15"/>
  <c r="Z32" i="15"/>
  <c r="Z31" i="15"/>
  <c r="Z30" i="15"/>
  <c r="Z29" i="15"/>
  <c r="Z28" i="15"/>
  <c r="Z27" i="15"/>
  <c r="Z26" i="15"/>
  <c r="Z25" i="15"/>
  <c r="Z24" i="15"/>
  <c r="Z23" i="15"/>
  <c r="Z22" i="15"/>
  <c r="Z21" i="15"/>
  <c r="Z20" i="15"/>
  <c r="Z19" i="15"/>
  <c r="Z18" i="15"/>
  <c r="Z17" i="15"/>
  <c r="Z16" i="15"/>
  <c r="Z15" i="15"/>
  <c r="Z14" i="15"/>
  <c r="AE41" i="15" l="1"/>
  <c r="AD46" i="15"/>
  <c r="AI40" i="15"/>
  <c r="Y46" i="15"/>
  <c r="AR42" i="15"/>
  <c r="Z40" i="15"/>
  <c r="Y40" i="15"/>
  <c r="AH40" i="15"/>
  <c r="AQ40" i="15"/>
  <c r="AJ21" i="15"/>
  <c r="AJ20" i="15"/>
  <c r="AP20" i="15" s="1"/>
  <c r="AJ19" i="15"/>
  <c r="AJ18" i="15"/>
  <c r="AJ17" i="15"/>
  <c r="AJ16" i="15"/>
  <c r="AP16" i="15" s="1"/>
  <c r="AJ15" i="15"/>
  <c r="AJ14" i="15"/>
  <c r="AG39" i="15"/>
  <c r="AG38" i="15"/>
  <c r="AG36" i="15"/>
  <c r="AG35" i="15"/>
  <c r="AG34" i="15"/>
  <c r="AG33" i="15"/>
  <c r="AG32" i="15"/>
  <c r="AG31" i="15"/>
  <c r="AG30" i="15"/>
  <c r="AG29" i="15"/>
  <c r="AG28" i="15"/>
  <c r="AG27" i="15"/>
  <c r="AP27" i="15" s="1"/>
  <c r="AG26" i="15"/>
  <c r="AG25" i="15"/>
  <c r="AG24" i="15"/>
  <c r="AG23" i="15"/>
  <c r="AG22" i="15"/>
  <c r="AG21" i="15"/>
  <c r="AG20" i="15"/>
  <c r="AG19" i="15"/>
  <c r="AG18" i="15"/>
  <c r="AG17" i="15"/>
  <c r="AG16" i="15"/>
  <c r="AG15" i="15"/>
  <c r="AG14" i="15"/>
  <c r="AP39" i="15"/>
  <c r="AP35" i="15"/>
  <c r="AP31" i="15"/>
  <c r="AP23" i="15"/>
  <c r="AP19" i="15"/>
  <c r="AP15" i="15"/>
  <c r="AB39" i="15"/>
  <c r="AA39" i="15"/>
  <c r="AD39" i="15" s="1"/>
  <c r="AE39" i="15" s="1"/>
  <c r="AB38" i="15"/>
  <c r="AA38" i="15"/>
  <c r="AB37" i="15"/>
  <c r="AA37" i="15"/>
  <c r="AD37" i="15" s="1"/>
  <c r="AE37" i="15" s="1"/>
  <c r="AB36" i="15"/>
  <c r="AA36" i="15"/>
  <c r="AB35" i="15"/>
  <c r="AA35" i="15"/>
  <c r="AD35" i="15" s="1"/>
  <c r="AE35" i="15" s="1"/>
  <c r="AB34" i="15"/>
  <c r="AA34" i="15"/>
  <c r="AB33" i="15"/>
  <c r="AA33" i="15"/>
  <c r="AD33" i="15" s="1"/>
  <c r="AE33" i="15" s="1"/>
  <c r="AB32" i="15"/>
  <c r="AA32" i="15"/>
  <c r="AB31" i="15"/>
  <c r="AA31" i="15"/>
  <c r="AD31" i="15" s="1"/>
  <c r="AE31" i="15" s="1"/>
  <c r="AB30" i="15"/>
  <c r="AA30" i="15"/>
  <c r="AB29" i="15"/>
  <c r="AA29" i="15"/>
  <c r="AD29" i="15" s="1"/>
  <c r="AE29" i="15" s="1"/>
  <c r="AB28" i="15"/>
  <c r="AA28" i="15"/>
  <c r="AB27" i="15"/>
  <c r="AA27" i="15"/>
  <c r="AD27" i="15" s="1"/>
  <c r="AE27" i="15" s="1"/>
  <c r="AB26" i="15"/>
  <c r="AA26" i="15"/>
  <c r="AB25" i="15"/>
  <c r="AA25" i="15"/>
  <c r="AD25" i="15" s="1"/>
  <c r="AE25" i="15" s="1"/>
  <c r="AB24" i="15"/>
  <c r="AA24" i="15"/>
  <c r="AB23" i="15"/>
  <c r="AA23" i="15"/>
  <c r="AD23" i="15" s="1"/>
  <c r="AE23" i="15" s="1"/>
  <c r="AB22" i="15"/>
  <c r="AA22" i="15"/>
  <c r="AB21" i="15"/>
  <c r="AA21" i="15"/>
  <c r="AD21" i="15" s="1"/>
  <c r="AE21" i="15" s="1"/>
  <c r="AB20" i="15"/>
  <c r="AA20" i="15"/>
  <c r="AB19" i="15"/>
  <c r="AA19" i="15"/>
  <c r="AD19" i="15" s="1"/>
  <c r="AE19" i="15" s="1"/>
  <c r="AB18" i="15"/>
  <c r="AA18" i="15"/>
  <c r="AB17" i="15"/>
  <c r="AA17" i="15"/>
  <c r="AD17" i="15" s="1"/>
  <c r="AE17" i="15" s="1"/>
  <c r="AB16" i="15"/>
  <c r="AA16" i="15"/>
  <c r="AB15" i="15"/>
  <c r="AA15" i="15"/>
  <c r="AD15" i="15" s="1"/>
  <c r="AE15" i="15" s="1"/>
  <c r="AB14" i="15"/>
  <c r="AA14" i="15"/>
  <c r="U40" i="15"/>
  <c r="T40" i="15"/>
  <c r="AJ40" i="15" l="1"/>
  <c r="AD22" i="15"/>
  <c r="AE22" i="15" s="1"/>
  <c r="AD28" i="15"/>
  <c r="AE28" i="15" s="1"/>
  <c r="AD34" i="15"/>
  <c r="AE34" i="15" s="1"/>
  <c r="AR41" i="15"/>
  <c r="AR46" i="15" s="1"/>
  <c r="AE46" i="15"/>
  <c r="AR27" i="15"/>
  <c r="AR39" i="15"/>
  <c r="AR15" i="15"/>
  <c r="AR19" i="15"/>
  <c r="AR23" i="15"/>
  <c r="AR31" i="15"/>
  <c r="AR35" i="15"/>
  <c r="AP24" i="15"/>
  <c r="AP28" i="15"/>
  <c r="AP32" i="15"/>
  <c r="AP36" i="15"/>
  <c r="AP17" i="15"/>
  <c r="AR17" i="15" s="1"/>
  <c r="AP21" i="15"/>
  <c r="AR21" i="15" s="1"/>
  <c r="AP25" i="15"/>
  <c r="AR25" i="15" s="1"/>
  <c r="AP29" i="15"/>
  <c r="AR29" i="15" s="1"/>
  <c r="AP33" i="15"/>
  <c r="AR33" i="15" s="1"/>
  <c r="AP37" i="15"/>
  <c r="AR37" i="15" s="1"/>
  <c r="AD14" i="15"/>
  <c r="AD16" i="15"/>
  <c r="AE16" i="15" s="1"/>
  <c r="AR16" i="15" s="1"/>
  <c r="AD18" i="15"/>
  <c r="AE18" i="15" s="1"/>
  <c r="AD20" i="15"/>
  <c r="AE20" i="15" s="1"/>
  <c r="AR20" i="15" s="1"/>
  <c r="AD24" i="15"/>
  <c r="AE24" i="15" s="1"/>
  <c r="AD26" i="15"/>
  <c r="AE26" i="15" s="1"/>
  <c r="AD30" i="15"/>
  <c r="AE30" i="15" s="1"/>
  <c r="AD32" i="15"/>
  <c r="AE32" i="15" s="1"/>
  <c r="AD36" i="15"/>
  <c r="AE36" i="15" s="1"/>
  <c r="AD38" i="15"/>
  <c r="AE38" i="15" s="1"/>
  <c r="AP14" i="15"/>
  <c r="AP18" i="15"/>
  <c r="AP22" i="15"/>
  <c r="AR22" i="15" s="1"/>
  <c r="AP26" i="15"/>
  <c r="AP30" i="15"/>
  <c r="AP34" i="15"/>
  <c r="AR34" i="15" s="1"/>
  <c r="AP38" i="15"/>
  <c r="AK40" i="15"/>
  <c r="AE14" i="15"/>
  <c r="AD40" i="15"/>
  <c r="AB40" i="15"/>
  <c r="AG40" i="15"/>
  <c r="AA40" i="15"/>
  <c r="AM12" i="15"/>
  <c r="AM11" i="15"/>
  <c r="AM10" i="15"/>
  <c r="AM9" i="15"/>
  <c r="AR28" i="15" l="1"/>
  <c r="AR38" i="15"/>
  <c r="AR32" i="15"/>
  <c r="AE40" i="15"/>
  <c r="AR14" i="15"/>
  <c r="AP40" i="15"/>
  <c r="AR30" i="15"/>
  <c r="AR18" i="15"/>
  <c r="AR26" i="15"/>
  <c r="AR36" i="15"/>
  <c r="AR24" i="15"/>
  <c r="AM13" i="15"/>
  <c r="AQ12" i="15"/>
  <c r="AQ11" i="15"/>
  <c r="AQ10" i="15"/>
  <c r="AQ9" i="15"/>
  <c r="AR40" i="15" l="1"/>
  <c r="AQ13" i="15"/>
  <c r="AJ12" i="15"/>
  <c r="AJ11" i="15"/>
  <c r="AJ10" i="15"/>
  <c r="AJ9" i="15"/>
  <c r="AK13" i="15" l="1"/>
  <c r="AJ13" i="15"/>
  <c r="AG12" i="15"/>
  <c r="AG11" i="15"/>
  <c r="AG10" i="15"/>
  <c r="AG9" i="15"/>
  <c r="AF12" i="15"/>
  <c r="AF11" i="15"/>
  <c r="AF10" i="15"/>
  <c r="AF9" i="15"/>
  <c r="AB12" i="15"/>
  <c r="AB11" i="15"/>
  <c r="AB10" i="15"/>
  <c r="AB9" i="15"/>
  <c r="AA12" i="15"/>
  <c r="AA11" i="15"/>
  <c r="AA10" i="15"/>
  <c r="AA9" i="15"/>
  <c r="V12" i="15"/>
  <c r="AI12" i="15" s="1"/>
  <c r="V11" i="15"/>
  <c r="AI11" i="15" s="1"/>
  <c r="V10" i="15"/>
  <c r="AI10" i="15" s="1"/>
  <c r="V9" i="15"/>
  <c r="AH9" i="15" s="1"/>
  <c r="Y9" i="15" l="1"/>
  <c r="AA13" i="15"/>
  <c r="AB13" i="15"/>
  <c r="AG13" i="15"/>
  <c r="AI9" i="15"/>
  <c r="AI13" i="15" s="1"/>
  <c r="Z10" i="15"/>
  <c r="AH10" i="15"/>
  <c r="Z11" i="15"/>
  <c r="Y10" i="15"/>
  <c r="AD10" i="15" s="1"/>
  <c r="AE10" i="15" s="1"/>
  <c r="AF13" i="15"/>
  <c r="AH11" i="15"/>
  <c r="AP11" i="15" s="1"/>
  <c r="Z12" i="15"/>
  <c r="Y11" i="15"/>
  <c r="AD11" i="15" s="1"/>
  <c r="AE11" i="15" s="1"/>
  <c r="AH12" i="15"/>
  <c r="AP12" i="15" s="1"/>
  <c r="Z9" i="15"/>
  <c r="Y12" i="15"/>
  <c r="AQ7" i="15"/>
  <c r="AQ6" i="15"/>
  <c r="AM7" i="15"/>
  <c r="AM6" i="15"/>
  <c r="Z13" i="15" l="1"/>
  <c r="AH13" i="15"/>
  <c r="AP9" i="15"/>
  <c r="AP10" i="15"/>
  <c r="AR10" i="15" s="1"/>
  <c r="AQ8" i="15"/>
  <c r="AR11" i="15"/>
  <c r="AM8" i="15"/>
  <c r="AD12" i="15"/>
  <c r="AE12" i="15" s="1"/>
  <c r="AR12" i="15" s="1"/>
  <c r="Y13" i="15"/>
  <c r="AD9" i="15"/>
  <c r="AL7" i="15"/>
  <c r="AL6" i="15"/>
  <c r="AL8" i="15" s="1"/>
  <c r="AP13" i="15" l="1"/>
  <c r="AD13" i="15"/>
  <c r="AE9" i="15"/>
  <c r="AI7" i="15"/>
  <c r="AI6" i="15"/>
  <c r="AG7" i="15"/>
  <c r="AG6" i="15"/>
  <c r="AH7" i="15"/>
  <c r="AH6" i="15"/>
  <c r="Y7" i="15"/>
  <c r="Y6" i="15"/>
  <c r="Z7" i="15"/>
  <c r="Z6" i="15"/>
  <c r="Z8" i="15" l="1"/>
  <c r="Y8" i="15"/>
  <c r="AR9" i="15"/>
  <c r="AR13" i="15" s="1"/>
  <c r="AE13" i="15"/>
  <c r="AH8" i="15"/>
  <c r="AI8" i="15"/>
  <c r="V8" i="15"/>
  <c r="AG8" i="15"/>
  <c r="AF7" i="15"/>
  <c r="AF6" i="15"/>
  <c r="AB7" i="15"/>
  <c r="AB6" i="15"/>
  <c r="U8" i="15"/>
  <c r="T8" i="15"/>
  <c r="AA7" i="15"/>
  <c r="AD7" i="15" s="1"/>
  <c r="AE7" i="15" s="1"/>
  <c r="AA6" i="15"/>
  <c r="AJ7" i="15"/>
  <c r="AJ6" i="15"/>
  <c r="AK8" i="15" l="1"/>
  <c r="AJ8" i="15"/>
  <c r="AF8" i="15"/>
  <c r="AP6" i="15"/>
  <c r="AP7" i="15"/>
  <c r="AR7" i="15" s="1"/>
  <c r="AA8" i="15"/>
  <c r="AB8" i="15"/>
  <c r="AD6" i="15"/>
  <c r="AP8" i="15" l="1"/>
  <c r="AD8" i="15"/>
  <c r="AE6" i="15"/>
  <c r="AR6" i="15" s="1"/>
  <c r="AR8" i="15" s="1"/>
  <c r="AQ4" i="15"/>
  <c r="AQ3" i="15"/>
  <c r="AQ2" i="15"/>
  <c r="AM4" i="15" l="1"/>
  <c r="AM2" i="15"/>
  <c r="AK4" i="15" l="1"/>
  <c r="AK3" i="15"/>
  <c r="AK2" i="15"/>
  <c r="AJ4" i="15"/>
  <c r="AJ3" i="15"/>
  <c r="AJ2" i="15"/>
  <c r="AG4" i="15" l="1"/>
  <c r="AG3" i="15"/>
  <c r="AG2" i="15"/>
  <c r="AF3" i="15"/>
  <c r="AF2" i="15"/>
  <c r="AC5" i="15" l="1"/>
  <c r="AB4" i="15" l="1"/>
  <c r="AB3" i="15"/>
  <c r="AB2" i="15"/>
  <c r="AA4" i="15"/>
  <c r="AA3" i="15"/>
  <c r="AA2" i="15"/>
  <c r="V4" i="15"/>
  <c r="V3" i="15"/>
  <c r="V2" i="15"/>
  <c r="AI2" i="15" s="1"/>
  <c r="AI3" i="15" l="1"/>
  <c r="AH3" i="15"/>
  <c r="AI4" i="15"/>
  <c r="AH4" i="15"/>
  <c r="Z4" i="15"/>
  <c r="Y4" i="15"/>
  <c r="Z3" i="15"/>
  <c r="Y3" i="15"/>
  <c r="U5" i="15"/>
  <c r="V5" i="15"/>
  <c r="T5" i="15"/>
  <c r="AH2" i="15"/>
  <c r="AH5" i="15" s="1"/>
  <c r="AI5" i="15" l="1"/>
  <c r="AD4" i="15"/>
  <c r="AE4" i="15" s="1"/>
  <c r="AP3" i="15"/>
  <c r="AP4" i="15"/>
  <c r="AP2" i="15"/>
  <c r="AB5" i="15"/>
  <c r="AL5" i="15"/>
  <c r="AM5" i="15"/>
  <c r="AQ5" i="15"/>
  <c r="AD3" i="15"/>
  <c r="AA5" i="15"/>
  <c r="AJ5" i="15"/>
  <c r="AK5" i="15"/>
  <c r="AF5" i="15"/>
  <c r="AG5" i="15"/>
  <c r="Y2" i="15"/>
  <c r="Y5" i="15" s="1"/>
  <c r="AP5" i="15" l="1"/>
  <c r="AR4" i="15"/>
  <c r="AE3" i="15"/>
  <c r="AR3" i="15" s="1"/>
  <c r="Z2" i="15"/>
  <c r="AD2" i="15" l="1"/>
  <c r="AD5" i="15" s="1"/>
  <c r="Z5" i="15"/>
  <c r="AE2" i="15" l="1"/>
  <c r="AR2" i="15" l="1"/>
  <c r="AR5" i="15" s="1"/>
  <c r="AE5" i="15"/>
  <c r="AE8" i="15" s="1"/>
</calcChain>
</file>

<file path=xl/comments1.xml><?xml version="1.0" encoding="utf-8"?>
<comments xmlns="http://schemas.openxmlformats.org/spreadsheetml/2006/main">
  <authors>
    <author>Author</author>
  </authors>
  <commentList>
    <comment ref="C5" authorId="0" shapeId="0">
      <text>
        <r>
          <rPr>
            <sz val="9"/>
            <color indexed="81"/>
            <rFont val="Tahoma"/>
            <family val="2"/>
          </rPr>
          <t xml:space="preserve">UPO-KOL-2013-01-001
</t>
        </r>
      </text>
    </comment>
    <comment ref="C6" authorId="0" shapeId="0">
      <text>
        <r>
          <rPr>
            <sz val="9"/>
            <color indexed="81"/>
            <rFont val="Tahoma"/>
            <family val="2"/>
          </rPr>
          <t>PO : LR 54-3DS FRP Cone (2HP)
Actual Import : Shutter Fan (Model : LFS54-7D)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cherry</author>
  </authors>
  <commentList>
    <comment ref="AM8" authorId="0" shapeId="0">
      <text>
        <r>
          <rPr>
            <b/>
            <sz val="9"/>
            <color indexed="81"/>
            <rFont val="Tahoma"/>
            <family val="2"/>
          </rPr>
          <t>cherry:</t>
        </r>
        <r>
          <rPr>
            <sz val="9"/>
            <color indexed="81"/>
            <rFont val="Tahoma"/>
            <family val="2"/>
          </rPr>
          <t xml:space="preserve">
624750+1118300
</t>
        </r>
      </text>
    </comment>
    <comment ref="AM9" authorId="0" shapeId="0">
      <text>
        <r>
          <rPr>
            <b/>
            <sz val="9"/>
            <color indexed="81"/>
            <rFont val="Tahoma"/>
            <family val="2"/>
          </rPr>
          <t>cherry:</t>
        </r>
        <r>
          <rPr>
            <sz val="9"/>
            <color indexed="81"/>
            <rFont val="Tahoma"/>
            <family val="2"/>
          </rPr>
          <t xml:space="preserve">
624750+1118300
</t>
        </r>
      </text>
    </comment>
    <comment ref="AM11" authorId="0" shapeId="0">
      <text>
        <r>
          <rPr>
            <b/>
            <sz val="9"/>
            <color indexed="81"/>
            <rFont val="Tahoma"/>
            <family val="2"/>
          </rPr>
          <t>cherry:</t>
        </r>
        <r>
          <rPr>
            <sz val="9"/>
            <color indexed="81"/>
            <rFont val="Tahoma"/>
            <family val="2"/>
          </rPr>
          <t xml:space="preserve">
549500+623842+709200</t>
        </r>
      </text>
    </comment>
    <comment ref="AM12" authorId="0" shapeId="0">
      <text>
        <r>
          <rPr>
            <b/>
            <sz val="9"/>
            <color indexed="81"/>
            <rFont val="Tahoma"/>
            <family val="2"/>
          </rPr>
          <t>cherry:</t>
        </r>
        <r>
          <rPr>
            <sz val="9"/>
            <color indexed="81"/>
            <rFont val="Tahoma"/>
            <family val="2"/>
          </rPr>
          <t xml:space="preserve">
549500+623842+709200</t>
        </r>
      </text>
    </comment>
  </commentList>
</comments>
</file>

<file path=xl/sharedStrings.xml><?xml version="1.0" encoding="utf-8"?>
<sst xmlns="http://schemas.openxmlformats.org/spreadsheetml/2006/main" count="3241" uniqueCount="529">
  <si>
    <t>Consignee</t>
  </si>
  <si>
    <t>Description</t>
  </si>
  <si>
    <t>Freight Charges (USD)</t>
  </si>
  <si>
    <t>Insurance Charges  (USD)</t>
  </si>
  <si>
    <t>ETD</t>
  </si>
  <si>
    <t>ETA</t>
  </si>
  <si>
    <t>Yangon, Myanmar</t>
  </si>
  <si>
    <t>Singapore</t>
  </si>
  <si>
    <t>Taichung, Taiwan</t>
  </si>
  <si>
    <t>Wuhu, China</t>
  </si>
  <si>
    <t>No</t>
  </si>
  <si>
    <t>Units</t>
  </si>
  <si>
    <t>UMG / Lucky Lark</t>
  </si>
  <si>
    <t>Fan (B/N : Kolowa)</t>
  </si>
  <si>
    <t>UPO-KOL-2013-01-001, 002</t>
  </si>
  <si>
    <t>Roof Fan (Model : KF 54 - 2P)</t>
  </si>
  <si>
    <t>Electronic Automatic Control Box</t>
  </si>
  <si>
    <t>UPO-KOL-2013-01-003</t>
  </si>
  <si>
    <t>Shutter Fan (Model : LFS54-7D)</t>
  </si>
  <si>
    <t>UPO-KOL-2013-01-005</t>
  </si>
  <si>
    <t>Super Fan (Model : SF180)</t>
  </si>
  <si>
    <t>UPO-KOL-2013-01-004</t>
  </si>
  <si>
    <t>Water Cooling Fan (Model : DF-6P2)</t>
  </si>
  <si>
    <t>UMG / Rose Couple</t>
  </si>
  <si>
    <t>Forklift (B/N : Chery)</t>
  </si>
  <si>
    <t>3 Tons (Model : FD30)</t>
  </si>
  <si>
    <t>Generator (B/N : Aksa)</t>
  </si>
  <si>
    <t>UPO-APG-2012-11-011, 014</t>
  </si>
  <si>
    <t>60 KVA (Model : APD66P) Silent Type</t>
  </si>
  <si>
    <t>UPO-APG-2012-11-012</t>
  </si>
  <si>
    <t>60 KVA (Model : APD66P) Open Type</t>
  </si>
  <si>
    <t>Shanghai, China</t>
  </si>
  <si>
    <t>UPO-APG-2012-11-013</t>
  </si>
  <si>
    <t>100 KVA (Model : APD110P) Silent Type</t>
  </si>
  <si>
    <t xml:space="preserve">UMG / Aye Saint Aye </t>
  </si>
  <si>
    <t>UPO/VOL/2013/02/001
UPO/MEC/2013/02/001
UPO/MEC/2013/02/004</t>
  </si>
  <si>
    <t>Generator 250 KVA (Silent) Model : TAD 734GE (B/N : UMG)</t>
  </si>
  <si>
    <t>UPO/VOL/2012/06/007</t>
  </si>
  <si>
    <t>Engine (Model : TAD734GE) (B/N : Volvo Penta)</t>
  </si>
  <si>
    <t>UPO/VOL/2013/02/007</t>
  </si>
  <si>
    <t>Engine (Model : TAD941GE) (B/N : Volvo Penta)</t>
  </si>
  <si>
    <t>UPO/MEC/2013/02/001</t>
  </si>
  <si>
    <t>Alternator (Model : ECO38-1LN/4) (B/N : Meccalte)</t>
  </si>
  <si>
    <t>18-Mar-13                           Singapore</t>
  </si>
  <si>
    <t>23-Mar-13        Yangon, Myanmar</t>
  </si>
  <si>
    <t>UPO/MEC/2013/02/002</t>
  </si>
  <si>
    <t>Alternator (Model : ECO38-3LN/4) (B/N : Meccalte)</t>
  </si>
  <si>
    <t>UPO/MEC/2013/02/003</t>
  </si>
  <si>
    <t>Alternator (Model : ECO40-3S/4) (B/N : Meccalte)</t>
  </si>
  <si>
    <t>UPO/MEC/2013/02/005</t>
  </si>
  <si>
    <t>UPO/MEC/2012/06/005</t>
  </si>
  <si>
    <t>Alternator (Model : ECP34-2L/4) (B/N : Meccalte)</t>
  </si>
  <si>
    <t>UPO/MEC/2013/02/004</t>
  </si>
  <si>
    <t>Deepsea (Model : Deepsea 7320) (B/N : Deepsea Electronics)</t>
  </si>
  <si>
    <t>UMG / Myat Phuu Pwint</t>
  </si>
  <si>
    <t>Generator (B/N : Baifa Power)</t>
  </si>
  <si>
    <t>UPO/BFA/2013/02/001</t>
  </si>
  <si>
    <t xml:space="preserve">Generator 200 KVA (Silent) Model : BF-C220S </t>
  </si>
  <si>
    <t>UPO/BFA/2013/02/002</t>
  </si>
  <si>
    <t xml:space="preserve">Generator 150 KVA (Open) Model : VP165 </t>
  </si>
  <si>
    <t>UPO/BFA/2013/02/003</t>
  </si>
  <si>
    <t xml:space="preserve">Generator 325 KVA (Open) Model : VP358 </t>
  </si>
  <si>
    <t>Forklift (B/N : Mitsubishi)</t>
  </si>
  <si>
    <t>Yangon , Myanmar</t>
  </si>
  <si>
    <t xml:space="preserve">UPO-MCF-2012-12-007, 008, 009, 010 </t>
  </si>
  <si>
    <t>3 Tons (Model : FD30NT)</t>
  </si>
  <si>
    <t>Dalian , China</t>
  </si>
  <si>
    <t>UMG / Pann Myat Ingyin</t>
  </si>
  <si>
    <t>Forklilift ( B/N : Doosan )</t>
  </si>
  <si>
    <t>3Tons ( Model : D30G )</t>
  </si>
  <si>
    <t>Qingdao , China</t>
  </si>
  <si>
    <t>UMG / Orchid King</t>
  </si>
  <si>
    <t>50000194</t>
  </si>
  <si>
    <t>Engine (Model : TAD1641GE) (B/N : Volvo Penta)</t>
  </si>
  <si>
    <t>Alternator (Model : ECO40-1.5L/4) (B/N : Meccalte Spa)</t>
  </si>
  <si>
    <t>Alternator (Model : ECO40-3S/4) (B/N : Meccalte Spa)</t>
  </si>
  <si>
    <t>50000193</t>
  </si>
  <si>
    <t>50000196</t>
  </si>
  <si>
    <t>DSR (warranty part for Royal Pan Say)</t>
  </si>
  <si>
    <t>UPO/APG/2013/02/002</t>
  </si>
  <si>
    <t>20 KVA (Model : APD22PE) Silent Type</t>
  </si>
  <si>
    <t>UPO/APG/2013/02/001</t>
  </si>
  <si>
    <t>UPO/APG/2013/02/004</t>
  </si>
  <si>
    <t>80 KVA (Model : APD88P)  Silent Type</t>
  </si>
  <si>
    <t>UPO/APG/2013/02/008</t>
  </si>
  <si>
    <t>250 KVA (Model : APD275PE)  Open Type</t>
  </si>
  <si>
    <t>Yangon Myanmar</t>
  </si>
  <si>
    <t>UPO/APG/2013/02/009</t>
  </si>
  <si>
    <t>400 KVA (Model : APD440PE)  Open Type</t>
  </si>
  <si>
    <t>UPO/APG/2013/03/010</t>
  </si>
  <si>
    <t>45 KVA (Model : APD50P)  Silent Type</t>
  </si>
  <si>
    <t>water temperature sensor (warranty part for Tiger Plastic)</t>
  </si>
  <si>
    <t>UPO/BFA/2013/02/007</t>
  </si>
  <si>
    <t>100 KVA (Model : BF-C110) Open Type</t>
  </si>
  <si>
    <t>UPO/BFA/2013/02/006</t>
  </si>
  <si>
    <t>100 KVA (Model : BF-C110S) Silent Type</t>
  </si>
  <si>
    <t>UPO/BFA/2013/02/005</t>
  </si>
  <si>
    <t>130 KVA (Model : BF-C142) Open Type</t>
  </si>
  <si>
    <t>UPO/BFA/2013/02/004</t>
  </si>
  <si>
    <t>130 KVA (Model : BF-C142S) Silent Type</t>
  </si>
  <si>
    <t>UPO/BFA/2013/02/009</t>
  </si>
  <si>
    <t>250 KVA (Model : BF-C275S) Silent Type</t>
  </si>
  <si>
    <t>UPO/BFA/2013/02/008</t>
  </si>
  <si>
    <t>344 KVA (Model : BF-C375) Open Type</t>
  </si>
  <si>
    <t>(7)</t>
  </si>
  <si>
    <t>(8)</t>
  </si>
  <si>
    <t>Remarks</t>
  </si>
  <si>
    <t>Exchange 
Rate</t>
  </si>
  <si>
    <t>TT Bank Charges
(USD)</t>
  </si>
  <si>
    <t>MACCS
service fee
(MMK)</t>
  </si>
  <si>
    <t xml:space="preserve">Import Service Charges
(USD)
</t>
  </si>
  <si>
    <t>FOB</t>
  </si>
  <si>
    <t>0</t>
  </si>
  <si>
    <t>Import Duty
(MMK)</t>
  </si>
  <si>
    <t>Commercial Tax (MMK)</t>
  </si>
  <si>
    <t>Income tax (MMK)</t>
  </si>
  <si>
    <t>Total Duty Charges (MMK)</t>
  </si>
  <si>
    <t>Security Fees (MMK)</t>
  </si>
  <si>
    <t>Redention Fine (MMK)</t>
  </si>
  <si>
    <t>Supplier Figure Head Charges (USD)</t>
  </si>
  <si>
    <t>Consignee Figure Head Charges (USD)</t>
  </si>
  <si>
    <t>License apply charge (USD)</t>
  </si>
  <si>
    <t>TT Transfer Charges
(USD)</t>
  </si>
  <si>
    <t>Earning purchase 
Diff
(USD)</t>
  </si>
  <si>
    <t>Document Courier Charges (USD)</t>
  </si>
  <si>
    <t>Total Duty with Bank Charges
(USD)</t>
  </si>
  <si>
    <t>Total Clearance Charges
(USD)</t>
  </si>
  <si>
    <t>Total License and Shipment Cost (USD)</t>
  </si>
  <si>
    <t>Total Landed Cost(USD)</t>
  </si>
  <si>
    <t>CONSIGNMENT NO.</t>
  </si>
  <si>
    <t>BUSINESS UNIT</t>
  </si>
  <si>
    <t>SHIPMENT
(MGT NO.)</t>
  </si>
  <si>
    <t xml:space="preserve">MODEL </t>
  </si>
  <si>
    <t>JOB ORDER NO</t>
  </si>
  <si>
    <t>REF PURCHASE ORDER NO</t>
  </si>
  <si>
    <t>DESCRIPTION</t>
  </si>
  <si>
    <t>SERIAL NO/VIN NO/CHASSIS NO</t>
  </si>
  <si>
    <t>BRAND NAME</t>
  </si>
  <si>
    <t>COUNTY OF ORIGIN</t>
  </si>
  <si>
    <t>QUANTITY/ITEM</t>
  </si>
  <si>
    <t>UOM</t>
  </si>
  <si>
    <t>CONTAINER TYPE</t>
  </si>
  <si>
    <t>CONTAINER QTY</t>
  </si>
  <si>
    <t xml:space="preserve">PURCHASE TERMS </t>
  </si>
  <si>
    <t>MACHINE &amp; PARTS ARRIVAL DATE (MAI/PAI)</t>
  </si>
  <si>
    <t>RELEASE ORDER NO/ID NO</t>
  </si>
  <si>
    <t>RELEASE ORDER DATE/ID DATE</t>
  </si>
  <si>
    <t>IL PRICE (USD)</t>
  </si>
  <si>
    <t>PURCHASE PRICE (USD)</t>
  </si>
  <si>
    <t>CUSTOMS AV PRICE (USD)</t>
  </si>
  <si>
    <t>CONSIGNEE NAME (CUSTOMER)</t>
  </si>
  <si>
    <t>IS</t>
  </si>
  <si>
    <t>CPCD30-XRW55B</t>
  </si>
  <si>
    <t>CPD20-AC4</t>
  </si>
  <si>
    <t>D-630B</t>
  </si>
  <si>
    <t>78 Co.,Ltd</t>
  </si>
  <si>
    <t>IS-0002-2020</t>
  </si>
  <si>
    <t>IS-0001-2020</t>
  </si>
  <si>
    <t>Forklift</t>
  </si>
  <si>
    <t>M5BJ16589</t>
  </si>
  <si>
    <t>H1BJ34040</t>
  </si>
  <si>
    <t>-</t>
  </si>
  <si>
    <t>U270~271</t>
  </si>
  <si>
    <t>Spare Battery</t>
  </si>
  <si>
    <t>Hangcha</t>
  </si>
  <si>
    <t>Torch</t>
  </si>
  <si>
    <t>China</t>
  </si>
  <si>
    <t>U</t>
  </si>
  <si>
    <t>20'</t>
  </si>
  <si>
    <t>U268~269</t>
  </si>
  <si>
    <t>FD35NT</t>
  </si>
  <si>
    <t>FD30NT</t>
  </si>
  <si>
    <t>CF14E-86503</t>
  </si>
  <si>
    <t>CF14E-19722</t>
  </si>
  <si>
    <t xml:space="preserve">Mitsubishi </t>
  </si>
  <si>
    <t>U272~275</t>
  </si>
  <si>
    <t>FD30S</t>
  </si>
  <si>
    <t>IS-0003-2020</t>
  </si>
  <si>
    <t>CF51-12078</t>
  </si>
  <si>
    <t>CF51-12079</t>
  </si>
  <si>
    <t>CF51-12080</t>
  </si>
  <si>
    <t>CF51-12081</t>
  </si>
  <si>
    <t>40'</t>
  </si>
  <si>
    <t>CPCD30</t>
  </si>
  <si>
    <t>PC-CB30SL-P1</t>
  </si>
  <si>
    <t>FORKLIFT</t>
  </si>
  <si>
    <t>Hand Pallet</t>
  </si>
  <si>
    <t>010302K5078</t>
  </si>
  <si>
    <t>010302K5079</t>
  </si>
  <si>
    <t>010302K5080</t>
  </si>
  <si>
    <t>010302K5081</t>
  </si>
  <si>
    <t>010302K5082</t>
  </si>
  <si>
    <t>010302K5083</t>
  </si>
  <si>
    <t>010302K5084</t>
  </si>
  <si>
    <t>010302K5085</t>
  </si>
  <si>
    <t>IS-2021-002</t>
  </si>
  <si>
    <t>CSM-IS-2021-002</t>
  </si>
  <si>
    <t>CSM-IS-2021-003</t>
  </si>
  <si>
    <t>CSM-IS-2021-004</t>
  </si>
  <si>
    <t>CSM-IS-2021-005</t>
  </si>
  <si>
    <t>CSM-IS-2021-006</t>
  </si>
  <si>
    <t>CSM-IS-2021-007</t>
  </si>
  <si>
    <t>CSM-IS-2021-008</t>
  </si>
  <si>
    <t>CSM-IS-2021-009</t>
  </si>
  <si>
    <t>CSM-IS-2021-010</t>
  </si>
  <si>
    <t>CSM-IS-2021-011</t>
  </si>
  <si>
    <t>CSM-IS-2021-012</t>
  </si>
  <si>
    <t>CSM-IS-2021-013</t>
  </si>
  <si>
    <t>CSM-IS-2021-014</t>
  </si>
  <si>
    <t>CSM-IS-2021-015</t>
  </si>
  <si>
    <t>CSM-IS-2021-016</t>
  </si>
  <si>
    <t>CSM-IS-2021-017</t>
  </si>
  <si>
    <t>CSM-IS-2021-018</t>
  </si>
  <si>
    <t>CSM-IS-2021-019</t>
  </si>
  <si>
    <t>CSM-IS-2021-020</t>
  </si>
  <si>
    <t>CSM-IS-2021-021</t>
  </si>
  <si>
    <t>CSM-IS-2021-022</t>
  </si>
  <si>
    <t>CSM-IS-2021-023</t>
  </si>
  <si>
    <t>CSM-IS-2021-024</t>
  </si>
  <si>
    <t>CSM-IS-2021-025</t>
  </si>
  <si>
    <t>CSM-IS-2021-026</t>
  </si>
  <si>
    <t>CSM-IS-2021-027</t>
  </si>
  <si>
    <t>Matador</t>
  </si>
  <si>
    <t xml:space="preserve">40' &amp; 20' </t>
  </si>
  <si>
    <t>CSM-IS-2021-028</t>
  </si>
  <si>
    <t>CSM-IS-2021-029</t>
  </si>
  <si>
    <t>CSM-IS-2021-030</t>
  </si>
  <si>
    <t>CSM-IS-2021-031</t>
  </si>
  <si>
    <t>CSM-IS-2021-032</t>
  </si>
  <si>
    <t>IS-2021-003</t>
  </si>
  <si>
    <t>CPM15-8</t>
  </si>
  <si>
    <t>CPX115</t>
  </si>
  <si>
    <t>G180</t>
  </si>
  <si>
    <t>C180</t>
  </si>
  <si>
    <t>Tank 1000 liter</t>
  </si>
  <si>
    <t>IS-JO-2021-001</t>
  </si>
  <si>
    <t>Air Compressor</t>
  </si>
  <si>
    <t>Air Dryer</t>
  </si>
  <si>
    <t>Filter</t>
  </si>
  <si>
    <t>Air Reciver Tank</t>
  </si>
  <si>
    <t>WUX001284</t>
  </si>
  <si>
    <t>COX707585</t>
  </si>
  <si>
    <t>Chicago Pneumatic</t>
  </si>
  <si>
    <t>Belgium</t>
  </si>
  <si>
    <t>Thailand</t>
  </si>
  <si>
    <t>Truck</t>
  </si>
  <si>
    <t>CSM-IS-2021-038</t>
  </si>
  <si>
    <t>CSM-IS-2021-039</t>
  </si>
  <si>
    <t>CSM-IS-2021-040</t>
  </si>
  <si>
    <t>CSM-IS-2021-041</t>
  </si>
  <si>
    <t>CSM-IS-2021-042</t>
  </si>
  <si>
    <t>CSM-IS-2021-043</t>
  </si>
  <si>
    <t>CSM-IS-2021-044</t>
  </si>
  <si>
    <t>CSM-IS-2021-045</t>
  </si>
  <si>
    <t>CSM-IS-2021-046</t>
  </si>
  <si>
    <t>CSM-IS-2021-047</t>
  </si>
  <si>
    <t>CSM-IS-2021-048</t>
  </si>
  <si>
    <t>CSM-IS-2021-049</t>
  </si>
  <si>
    <t>CSM-IS-2021-050</t>
  </si>
  <si>
    <t>CSM-IS-2021-051</t>
  </si>
  <si>
    <t>CSM-IS-2021-052</t>
  </si>
  <si>
    <t>CSM-IS-2021-053</t>
  </si>
  <si>
    <t>CSM-IS-2021-054</t>
  </si>
  <si>
    <t>CSM-IS-2021-055</t>
  </si>
  <si>
    <t>CSM-IS-2021-056</t>
  </si>
  <si>
    <t>CSM-IS-2021-057</t>
  </si>
  <si>
    <t>CSM-IS-2021-058</t>
  </si>
  <si>
    <t>CSM-IS-2021-059</t>
  </si>
  <si>
    <t>CSM-IS-2021-060</t>
  </si>
  <si>
    <t>CSM-IS-2021-061</t>
  </si>
  <si>
    <t>CSM-IS-2021-062</t>
  </si>
  <si>
    <t>CSM-IS-2021-063</t>
  </si>
  <si>
    <t>CSM-IS-2021-064</t>
  </si>
  <si>
    <t>CSM-IS-2021-065</t>
  </si>
  <si>
    <t>CSM-IS-2021-066</t>
  </si>
  <si>
    <t>CSM-IS-2021-067</t>
  </si>
  <si>
    <t>CSM-IS-2021-068</t>
  </si>
  <si>
    <t>CSM-IS-2021-069</t>
  </si>
  <si>
    <t>CSM-IS-2021-070</t>
  </si>
  <si>
    <t>CSM-IS-2021-071</t>
  </si>
  <si>
    <t>CSM-IS-2021-072</t>
  </si>
  <si>
    <t>CSM-IS-2021-073</t>
  </si>
  <si>
    <t>CSM-IS-2021-074</t>
  </si>
  <si>
    <t>CSM-IS-2021-075</t>
  </si>
  <si>
    <t>CSM-IS-2021-076</t>
  </si>
  <si>
    <t>CSM-IS-2021-077</t>
  </si>
  <si>
    <t>CSM-IS-2021-078</t>
  </si>
  <si>
    <t>CSM-IS-2021-079</t>
  </si>
  <si>
    <t>CSM-IS-2021-080</t>
  </si>
  <si>
    <t>CSM-IS-2021-081</t>
  </si>
  <si>
    <t>CSM-IS-2021-082</t>
  </si>
  <si>
    <t>CSM-IS-2021-083</t>
  </si>
  <si>
    <t>CSM-IS-2021-084</t>
  </si>
  <si>
    <t>IS-2021-005</t>
  </si>
  <si>
    <t>CPCD15-XCK</t>
  </si>
  <si>
    <t>CPCD30-XC5K2C</t>
  </si>
  <si>
    <t>490CLX-BM</t>
  </si>
  <si>
    <t>490JLX-BM</t>
  </si>
  <si>
    <t>H99Y1-00311X</t>
  </si>
  <si>
    <t>12163-82301G</t>
  </si>
  <si>
    <t>25597-60301G-BM</t>
  </si>
  <si>
    <t>IS-JO-2021-003</t>
  </si>
  <si>
    <t>IS-JO-2021-004</t>
  </si>
  <si>
    <t>IS-SP-JO-2021-0002</t>
  </si>
  <si>
    <t>FUEL FILTER</t>
  </si>
  <si>
    <t>ENGINE OIL FILTER</t>
  </si>
  <si>
    <t>AIR FILTER</t>
  </si>
  <si>
    <t>TRANSMISSION FILTER</t>
  </si>
  <si>
    <t>HYDRAULIC OIL FILTER</t>
  </si>
  <si>
    <t>010152x9809</t>
  </si>
  <si>
    <t>010302M4839</t>
  </si>
  <si>
    <t>Heli</t>
  </si>
  <si>
    <t>IS-2021-004</t>
  </si>
  <si>
    <t>CSM-IS-2021-033</t>
  </si>
  <si>
    <t>CSM-IS-2021-034</t>
  </si>
  <si>
    <t>CSM-IS-2021-035</t>
  </si>
  <si>
    <t>CSM-IS-2021-036</t>
  </si>
  <si>
    <t>CSM-IS-2021-037</t>
  </si>
  <si>
    <t>FD30HS</t>
  </si>
  <si>
    <t>IS-0004-2020</t>
  </si>
  <si>
    <t>IS-JO-2021-002</t>
  </si>
  <si>
    <t>CF51-12129</t>
  </si>
  <si>
    <t>CF51-12140</t>
  </si>
  <si>
    <t>CF51-12187</t>
  </si>
  <si>
    <t>CF51-12186</t>
  </si>
  <si>
    <t>CF14E-86613</t>
  </si>
  <si>
    <t>40' &amp; 20'</t>
  </si>
  <si>
    <t>IS-2021-006</t>
  </si>
  <si>
    <t>CSM-IS-2021-085</t>
  </si>
  <si>
    <t>IS-JO-2021-0005</t>
  </si>
  <si>
    <t>CF14E-20430</t>
  </si>
  <si>
    <t>IS-2021-007</t>
  </si>
  <si>
    <t>CSM-IS-2021-086</t>
  </si>
  <si>
    <t>CSM-IS-2021-087</t>
  </si>
  <si>
    <t>CSM-IS-2021-088</t>
  </si>
  <si>
    <t>CSM-IS-2021-089</t>
  </si>
  <si>
    <t>CPCD20-XC5K2C</t>
  </si>
  <si>
    <t>IS-JO-2021-0007</t>
  </si>
  <si>
    <t>010202N1389</t>
  </si>
  <si>
    <t>010302N1386</t>
  </si>
  <si>
    <t>010302N1387</t>
  </si>
  <si>
    <t>010302N1388</t>
  </si>
  <si>
    <t>Gearless Direct Drive HVLCeiling Fan</t>
  </si>
  <si>
    <t>CSM-IS-2021-101</t>
  </si>
  <si>
    <t>CSM-IS-2021-102</t>
  </si>
  <si>
    <t>CSM-IS-2021-103</t>
  </si>
  <si>
    <t>HVD-B7200</t>
  </si>
  <si>
    <t>IS-JO-2021-0009</t>
  </si>
  <si>
    <t>KVM</t>
  </si>
  <si>
    <t>KVM-D7200-PO2112-01</t>
  </si>
  <si>
    <t>KVM-D7200-PO2112-02</t>
  </si>
  <si>
    <t>KVM-D7200-PO2112-03</t>
  </si>
  <si>
    <t>LCL</t>
  </si>
  <si>
    <t>CIF</t>
  </si>
  <si>
    <t>IS-2021-009</t>
  </si>
  <si>
    <t>CSM-IS-2021-104</t>
  </si>
  <si>
    <t>IS-2021-010</t>
  </si>
  <si>
    <t>FB20CB</t>
  </si>
  <si>
    <t>IS-JO-21021-008</t>
  </si>
  <si>
    <t>257D00875</t>
  </si>
  <si>
    <t>CPD15-CA2</t>
  </si>
  <si>
    <t>CPCD30-M1K2C</t>
  </si>
  <si>
    <t>PC-CB30SL-P2</t>
  </si>
  <si>
    <t>CSM-IS-2021-105</t>
  </si>
  <si>
    <t>IS-2021-011</t>
  </si>
  <si>
    <t>CSM-IS-2021-106</t>
  </si>
  <si>
    <t>CSM-IS-2021-107</t>
  </si>
  <si>
    <t>CSM-IS-2021-108</t>
  </si>
  <si>
    <t>CSM-IS-2021-109</t>
  </si>
  <si>
    <t>CSM-IS-2021-110</t>
  </si>
  <si>
    <t>CSM-IS-2021-111</t>
  </si>
  <si>
    <t>CSM-IS-2021-112</t>
  </si>
  <si>
    <t>CSM-IS-2021-113</t>
  </si>
  <si>
    <t>CSM-IS-2021-114</t>
  </si>
  <si>
    <t>CSM-IS-2021-115</t>
  </si>
  <si>
    <t>CSM-IS-2021-116</t>
  </si>
  <si>
    <t>CSM-IS-2021-117</t>
  </si>
  <si>
    <t>CSM-IS-2021-118</t>
  </si>
  <si>
    <t>CSM-IS-2021-119</t>
  </si>
  <si>
    <t>CSM-IS-2021-120</t>
  </si>
  <si>
    <t>CSM-IS-2021-121</t>
  </si>
  <si>
    <t>CSM-IS-2021-122</t>
  </si>
  <si>
    <t>CSM-IS-2021-123</t>
  </si>
  <si>
    <t>CSM-IS-2021-124</t>
  </si>
  <si>
    <t>CSM-IS-2021-125</t>
  </si>
  <si>
    <t>CSM-IS-2021-126</t>
  </si>
  <si>
    <t>CSM-IS-2021-127</t>
  </si>
  <si>
    <t>CSM-IS-2021-128</t>
  </si>
  <si>
    <t>CSM-IS-2021-129</t>
  </si>
  <si>
    <t>CSM-IS-2021-130</t>
  </si>
  <si>
    <t>CSM-IS-2021-131</t>
  </si>
  <si>
    <t>CSM-IS-2021-132</t>
  </si>
  <si>
    <t>CSM-IS-2021-133</t>
  </si>
  <si>
    <t>CSM-IS-2021-134</t>
  </si>
  <si>
    <t>CSM-IS-2021-135</t>
  </si>
  <si>
    <t>CSM-IS-2021-136</t>
  </si>
  <si>
    <t>CSM-IS-2021-137</t>
  </si>
  <si>
    <t>IS-JO-2021-0010</t>
  </si>
  <si>
    <t>IS-SP-JO-2021-001</t>
  </si>
  <si>
    <t>05015DG5001</t>
  </si>
  <si>
    <t>010302P4437</t>
  </si>
  <si>
    <t>010302P4438</t>
  </si>
  <si>
    <t>IS-2022-001</t>
  </si>
  <si>
    <t>CSM-IS-2022-001</t>
  </si>
  <si>
    <t>SBP12EAS</t>
  </si>
  <si>
    <t>IS-JO-2021-0012</t>
  </si>
  <si>
    <t>78-UNT-PO-21110003</t>
  </si>
  <si>
    <t>BRAND NEW ELECTRIC HAND PALLET TRUCK(FORKLIFT TYPE)</t>
  </si>
  <si>
    <t>M LIFT</t>
  </si>
  <si>
    <t>CSM-IS-2022-002</t>
  </si>
  <si>
    <t>IS-2022-002</t>
  </si>
  <si>
    <t>FB15CB</t>
  </si>
  <si>
    <t>IS-JO-2021-0011</t>
  </si>
  <si>
    <t>78-UNT-PO-21110002</t>
  </si>
  <si>
    <t>BRAND NEW ELECTRIC FORKLIFT</t>
  </si>
  <si>
    <t>256F00601</t>
  </si>
  <si>
    <t>MITSUBISHI</t>
  </si>
  <si>
    <t>THAILAND</t>
  </si>
  <si>
    <t>Road</t>
  </si>
  <si>
    <t>RBS15CB1</t>
  </si>
  <si>
    <t>IS-2022-004</t>
  </si>
  <si>
    <t>CSM-IS-2022-005</t>
  </si>
  <si>
    <t>IS-JO-2022-0005</t>
  </si>
  <si>
    <t>78-UNT-PO-22020002</t>
  </si>
  <si>
    <t>185F02783</t>
  </si>
  <si>
    <t>IS-2022-003</t>
  </si>
  <si>
    <t>IS-2022-005</t>
  </si>
  <si>
    <t>BRAND NEW FORKLIFT</t>
  </si>
  <si>
    <t>CSM-IS-2022-003</t>
  </si>
  <si>
    <t>CSM-IS-2022-004</t>
  </si>
  <si>
    <t>CSM-IS-2022-006</t>
  </si>
  <si>
    <t>CSM-IS-2022-007</t>
  </si>
  <si>
    <t>Winning Way Co.,Ltd</t>
  </si>
  <si>
    <t>IS-JO-2022-0004</t>
  </si>
  <si>
    <t>78-UNT-PO-22020001</t>
  </si>
  <si>
    <t>010302R8558</t>
  </si>
  <si>
    <t>010302R8559</t>
  </si>
  <si>
    <t>010302R8556</t>
  </si>
  <si>
    <t>010302R8557</t>
  </si>
  <si>
    <t>40'HQ</t>
  </si>
  <si>
    <t>IS-2022-006</t>
  </si>
  <si>
    <t>IS-2022-007</t>
  </si>
  <si>
    <t>CSM-IS-2022-008</t>
  </si>
  <si>
    <t>CSM-IS-2022-009</t>
  </si>
  <si>
    <t>CSM-IS-2022-010</t>
  </si>
  <si>
    <t>CSM-IS-2022-011</t>
  </si>
  <si>
    <t>CSM-IS-2022-012</t>
  </si>
  <si>
    <t>IS-JO-2022-0003</t>
  </si>
  <si>
    <t>IS-JO-2022-0002</t>
  </si>
  <si>
    <t>CF51-12676</t>
  </si>
  <si>
    <t>CF51-12677</t>
  </si>
  <si>
    <t>CF14E-21511</t>
  </si>
  <si>
    <t>CF51-12674</t>
  </si>
  <si>
    <t>CF51-12675</t>
  </si>
  <si>
    <t>20'GP</t>
  </si>
  <si>
    <t>IS-2022-008</t>
  </si>
  <si>
    <t>CSM-IS-2022-013</t>
  </si>
  <si>
    <t>IS-JO-2022-0007</t>
  </si>
  <si>
    <t>256F00862</t>
  </si>
  <si>
    <t>CSM-IS-2022-016</t>
  </si>
  <si>
    <t>CSM-IS-2022-017</t>
  </si>
  <si>
    <t>IS-2022-010</t>
  </si>
  <si>
    <t>BRAND NEW FORKLIFT WITH TYRE HANDLER</t>
  </si>
  <si>
    <t>78-UNT-PO-22080001</t>
  </si>
  <si>
    <t>CPCD85-XRW14</t>
  </si>
  <si>
    <t>18BB04851</t>
  </si>
  <si>
    <t>18BB04852</t>
  </si>
  <si>
    <t>HANGCHA</t>
  </si>
  <si>
    <t>IS-2022-011</t>
  </si>
  <si>
    <t>CSM-IS-2022-018</t>
  </si>
  <si>
    <t>T12</t>
  </si>
  <si>
    <t>78-UNT-PO-22110002</t>
  </si>
  <si>
    <t>BRAND NEW CLEANING MACHINE</t>
  </si>
  <si>
    <t>TENNANT</t>
  </si>
  <si>
    <t>EXW</t>
  </si>
  <si>
    <t>IS-2022-009</t>
  </si>
  <si>
    <t>CSM-IS-2022-014</t>
  </si>
  <si>
    <t>CSM-IS-2022-015</t>
  </si>
  <si>
    <t>IS-JO-2022-0008</t>
  </si>
  <si>
    <t>IS-JO-2022-0009</t>
  </si>
  <si>
    <t>IS-JO-2022-0012</t>
  </si>
  <si>
    <t>IS-JO-2022-0010</t>
  </si>
  <si>
    <t>IS-JO-2022-0001</t>
  </si>
  <si>
    <t>78-UNT-PO-22050001</t>
  </si>
  <si>
    <t>78-UNT-PO-22050002</t>
  </si>
  <si>
    <t>CF14E-21726</t>
  </si>
  <si>
    <t>CF51-12779</t>
  </si>
  <si>
    <t>IS-2022-012/SI-2023-01-0016</t>
  </si>
  <si>
    <t>CSM-IS-2022-019</t>
  </si>
  <si>
    <t>FD100NH</t>
  </si>
  <si>
    <t>IS-JO-2022-0006</t>
  </si>
  <si>
    <t>78-UNT-PO-22020003</t>
  </si>
  <si>
    <t>30G31761</t>
  </si>
  <si>
    <t>Japan</t>
  </si>
  <si>
    <t>CSM-IS-2022-020</t>
  </si>
  <si>
    <t>IS-2022-013/SI-0353</t>
  </si>
  <si>
    <t>CPCD85-XRW14B</t>
  </si>
  <si>
    <t>IS-JO-2022-0011</t>
  </si>
  <si>
    <t>78-UNT-PO-22110001</t>
  </si>
  <si>
    <t>18BB06642</t>
  </si>
  <si>
    <t>CO-2023-05-0208</t>
  </si>
  <si>
    <t>CO-2023-05-0209</t>
  </si>
  <si>
    <t>CO-2023-05-0210</t>
  </si>
  <si>
    <t>SI-2023-05-0077</t>
  </si>
  <si>
    <t>MFD50-X</t>
  </si>
  <si>
    <t>IS-JO-2023-0002</t>
  </si>
  <si>
    <t>78-UNT-PO-23050001</t>
  </si>
  <si>
    <t>18BC04370</t>
  </si>
  <si>
    <t>18BC04368</t>
  </si>
  <si>
    <t>18BC04369</t>
  </si>
  <si>
    <t>MATADOR</t>
  </si>
  <si>
    <t xml:space="preserve">
SI-2023-08-0148</t>
  </si>
  <si>
    <t>CO-2023-08-0363</t>
  </si>
  <si>
    <t>CO-2023-08-0364</t>
  </si>
  <si>
    <t>MFD30-X</t>
  </si>
  <si>
    <t>IS-JO-2023-0005</t>
  </si>
  <si>
    <t>78-UNT-PO-23060001</t>
  </si>
  <si>
    <t>18BC06201</t>
  </si>
  <si>
    <t>18BC06202</t>
  </si>
  <si>
    <t>CO-2023-09-0464</t>
  </si>
  <si>
    <t>CO-2023-09-0465</t>
  </si>
  <si>
    <t>CO-2023-09-0466</t>
  </si>
  <si>
    <t>CO-2023-09-0467</t>
  </si>
  <si>
    <t>SI-2023-09-0172</t>
  </si>
  <si>
    <t xml:space="preserve">Typhoon 105-CA </t>
  </si>
  <si>
    <t>IS-JO-2023-0006</t>
  </si>
  <si>
    <t>78-UNT-PO-23070001</t>
  </si>
  <si>
    <t>VACUUMS CLEANER</t>
  </si>
  <si>
    <t>KLENCO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</si>
</sst>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0_);\(0\)"/>
    <numFmt numFmtId="167" formatCode="[$-409]d\-mmm\-yy;@"/>
    <numFmt numFmtId="168" formatCode="0.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rgb="FF7030A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1"/>
      <name val="Calibri"/>
      <family val="2"/>
      <scheme val="minor"/>
    </font>
    <font>
      <sz val="12"/>
      <color theme="1"/>
      <name val="Arial"/>
      <family val="2"/>
    </font>
    <font>
      <b/>
      <sz val="9"/>
      <color indexed="81"/>
      <name val="Tahoma"/>
      <family val="2"/>
    </font>
    <font>
      <sz val="14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299">
    <xf numFmtId="0" fontId="0" fillId="0" borderId="0" xfId="0"/>
    <xf numFmtId="166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5" fontId="2" fillId="0" borderId="0" xfId="2" applyNumberFormat="1" applyFont="1" applyAlignment="1">
      <alignment horizontal="center" vertical="center"/>
    </xf>
    <xf numFmtId="166" fontId="3" fillId="3" borderId="2" xfId="0" applyNumberFormat="1" applyFont="1" applyFill="1" applyBorder="1"/>
    <xf numFmtId="0" fontId="3" fillId="3" borderId="2" xfId="0" applyFont="1" applyFill="1" applyBorder="1" applyAlignment="1">
      <alignment horizontal="left"/>
    </xf>
    <xf numFmtId="0" fontId="3" fillId="3" borderId="2" xfId="0" applyFont="1" applyFill="1" applyBorder="1"/>
    <xf numFmtId="0" fontId="3" fillId="3" borderId="2" xfId="0" applyFont="1" applyFill="1" applyBorder="1" applyAlignment="1">
      <alignment horizontal="center"/>
    </xf>
    <xf numFmtId="0" fontId="3" fillId="0" borderId="0" xfId="0" applyFont="1"/>
    <xf numFmtId="164" fontId="3" fillId="0" borderId="0" xfId="1" applyNumberFormat="1" applyFont="1"/>
    <xf numFmtId="165" fontId="3" fillId="0" borderId="0" xfId="2" applyNumberFormat="1" applyFont="1"/>
    <xf numFmtId="166" fontId="3" fillId="3" borderId="3" xfId="0" applyNumberFormat="1" applyFont="1" applyFill="1" applyBorder="1"/>
    <xf numFmtId="0" fontId="3" fillId="3" borderId="3" xfId="0" applyFont="1" applyFill="1" applyBorder="1" applyAlignment="1">
      <alignment horizontal="left"/>
    </xf>
    <xf numFmtId="0" fontId="3" fillId="3" borderId="3" xfId="0" applyFont="1" applyFill="1" applyBorder="1"/>
    <xf numFmtId="0" fontId="3" fillId="3" borderId="3" xfId="0" applyFont="1" applyFill="1" applyBorder="1" applyAlignment="1">
      <alignment horizontal="center"/>
    </xf>
    <xf numFmtId="167" fontId="3" fillId="3" borderId="3" xfId="0" applyNumberFormat="1" applyFont="1" applyFill="1" applyBorder="1" applyAlignment="1">
      <alignment horizontal="center"/>
    </xf>
    <xf numFmtId="166" fontId="3" fillId="0" borderId="3" xfId="0" applyNumberFormat="1" applyFont="1" applyBorder="1"/>
    <xf numFmtId="0" fontId="3" fillId="0" borderId="3" xfId="0" applyFont="1" applyBorder="1" applyAlignment="1">
      <alignment horizontal="left"/>
    </xf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167" fontId="4" fillId="3" borderId="3" xfId="0" applyNumberFormat="1" applyFont="1" applyFill="1" applyBorder="1" applyAlignment="1">
      <alignment horizontal="center" vertical="center"/>
    </xf>
    <xf numFmtId="166" fontId="3" fillId="0" borderId="3" xfId="0" applyNumberFormat="1" applyFont="1" applyFill="1" applyBorder="1"/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/>
    <xf numFmtId="0" fontId="3" fillId="0" borderId="3" xfId="0" applyFont="1" applyFill="1" applyBorder="1" applyAlignment="1">
      <alignment horizontal="center"/>
    </xf>
    <xf numFmtId="0" fontId="3" fillId="0" borderId="0" xfId="0" applyFont="1" applyFill="1"/>
    <xf numFmtId="164" fontId="3" fillId="0" borderId="0" xfId="1" applyNumberFormat="1" applyFont="1" applyFill="1"/>
    <xf numFmtId="165" fontId="3" fillId="0" borderId="0" xfId="2" applyNumberFormat="1" applyFont="1" applyFill="1"/>
    <xf numFmtId="166" fontId="3" fillId="3" borderId="3" xfId="0" applyNumberFormat="1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64" fontId="3" fillId="0" borderId="0" xfId="1" applyNumberFormat="1" applyFont="1" applyAlignment="1">
      <alignment horizontal="left" vertical="center"/>
    </xf>
    <xf numFmtId="165" fontId="3" fillId="0" borderId="0" xfId="2" applyNumberFormat="1" applyFont="1" applyAlignment="1">
      <alignment horizontal="left" vertical="center"/>
    </xf>
    <xf numFmtId="166" fontId="3" fillId="0" borderId="5" xfId="0" applyNumberFormat="1" applyFont="1" applyFill="1" applyBorder="1"/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center"/>
    </xf>
    <xf numFmtId="167" fontId="3" fillId="0" borderId="5" xfId="0" applyNumberFormat="1" applyFont="1" applyFill="1" applyBorder="1" applyAlignment="1">
      <alignment horizontal="center"/>
    </xf>
    <xf numFmtId="0" fontId="3" fillId="3" borderId="5" xfId="0" applyFont="1" applyFill="1" applyBorder="1" applyAlignment="1">
      <alignment horizontal="left"/>
    </xf>
    <xf numFmtId="166" fontId="3" fillId="3" borderId="5" xfId="0" applyNumberFormat="1" applyFont="1" applyFill="1" applyBorder="1"/>
    <xf numFmtId="0" fontId="3" fillId="3" borderId="5" xfId="0" applyFont="1" applyFill="1" applyBorder="1"/>
    <xf numFmtId="0" fontId="3" fillId="3" borderId="5" xfId="0" applyFont="1" applyFill="1" applyBorder="1" applyAlignment="1">
      <alignment horizontal="center"/>
    </xf>
    <xf numFmtId="167" fontId="3" fillId="3" borderId="5" xfId="0" applyNumberFormat="1" applyFont="1" applyFill="1" applyBorder="1" applyAlignment="1">
      <alignment horizontal="center"/>
    </xf>
    <xf numFmtId="15" fontId="3" fillId="0" borderId="5" xfId="0" applyNumberFormat="1" applyFont="1" applyFill="1" applyBorder="1" applyAlignment="1">
      <alignment horizontal="center"/>
    </xf>
    <xf numFmtId="0" fontId="5" fillId="0" borderId="5" xfId="0" applyFont="1" applyFill="1" applyBorder="1"/>
    <xf numFmtId="0" fontId="5" fillId="0" borderId="5" xfId="0" applyFont="1" applyFill="1" applyBorder="1" applyAlignment="1">
      <alignment horizontal="center"/>
    </xf>
    <xf numFmtId="166" fontId="3" fillId="0" borderId="4" xfId="0" applyNumberFormat="1" applyFont="1" applyFill="1" applyBorder="1"/>
    <xf numFmtId="0" fontId="3" fillId="0" borderId="4" xfId="0" applyFont="1" applyFill="1" applyBorder="1" applyAlignment="1">
      <alignment horizontal="left"/>
    </xf>
    <xf numFmtId="0" fontId="3" fillId="0" borderId="4" xfId="0" applyFont="1" applyFill="1" applyBorder="1"/>
    <xf numFmtId="0" fontId="3" fillId="0" borderId="4" xfId="0" applyFont="1" applyFill="1" applyBorder="1" applyAlignment="1">
      <alignment horizontal="center"/>
    </xf>
    <xf numFmtId="166" fontId="3" fillId="0" borderId="0" xfId="0" applyNumberFormat="1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3" borderId="3" xfId="0" quotePrefix="1" applyFont="1" applyFill="1" applyBorder="1" applyAlignment="1">
      <alignment horizontal="right"/>
    </xf>
    <xf numFmtId="0" fontId="7" fillId="6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/>
    </xf>
    <xf numFmtId="0" fontId="9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 vertical="center" wrapText="1"/>
    </xf>
    <xf numFmtId="15" fontId="9" fillId="0" borderId="1" xfId="0" applyNumberFormat="1" applyFont="1" applyFill="1" applyBorder="1" applyAlignment="1">
      <alignment horizontal="left" vertical="center"/>
    </xf>
    <xf numFmtId="1" fontId="9" fillId="0" borderId="1" xfId="0" applyNumberFormat="1" applyFont="1" applyFill="1" applyBorder="1" applyAlignment="1">
      <alignment horizontal="left" vertical="center"/>
    </xf>
    <xf numFmtId="43" fontId="9" fillId="0" borderId="1" xfId="0" quotePrefix="1" applyNumberFormat="1" applyFont="1" applyFill="1" applyBorder="1" applyAlignment="1">
      <alignment horizontal="left"/>
    </xf>
    <xf numFmtId="43" fontId="9" fillId="0" borderId="1" xfId="0" applyNumberFormat="1" applyFont="1" applyFill="1" applyBorder="1" applyAlignment="1">
      <alignment horizontal="left"/>
    </xf>
    <xf numFmtId="0" fontId="9" fillId="0" borderId="1" xfId="0" quotePrefix="1" applyFont="1" applyFill="1" applyBorder="1" applyAlignment="1">
      <alignment horizontal="left"/>
    </xf>
    <xf numFmtId="2" fontId="9" fillId="7" borderId="1" xfId="0" applyNumberFormat="1" applyFont="1" applyFill="1" applyBorder="1" applyAlignment="1">
      <alignment horizontal="left"/>
    </xf>
    <xf numFmtId="2" fontId="9" fillId="0" borderId="1" xfId="0" applyNumberFormat="1" applyFont="1" applyFill="1" applyBorder="1" applyAlignment="1">
      <alignment horizontal="left"/>
    </xf>
    <xf numFmtId="2" fontId="9" fillId="7" borderId="1" xfId="0" quotePrefix="1" applyNumberFormat="1" applyFont="1" applyFill="1" applyBorder="1" applyAlignment="1">
      <alignment horizontal="left"/>
    </xf>
    <xf numFmtId="2" fontId="9" fillId="2" borderId="1" xfId="0" quotePrefix="1" applyNumberFormat="1" applyFont="1" applyFill="1" applyBorder="1" applyAlignment="1">
      <alignment horizontal="left"/>
    </xf>
    <xf numFmtId="0" fontId="9" fillId="6" borderId="0" xfId="0" applyFont="1" applyFill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Alignment="1">
      <alignment horizontal="left"/>
    </xf>
    <xf numFmtId="1" fontId="9" fillId="0" borderId="1" xfId="0" quotePrefix="1" applyNumberFormat="1" applyFont="1" applyFill="1" applyBorder="1" applyAlignment="1">
      <alignment horizontal="left"/>
    </xf>
    <xf numFmtId="0" fontId="9" fillId="0" borderId="1" xfId="0" applyFont="1" applyFill="1" applyBorder="1" applyAlignment="1">
      <alignment horizontal="center" vertical="center"/>
    </xf>
    <xf numFmtId="2" fontId="9" fillId="0" borderId="1" xfId="0" quotePrefix="1" applyNumberFormat="1" applyFont="1" applyFill="1" applyBorder="1" applyAlignment="1">
      <alignment horizontal="left"/>
    </xf>
    <xf numFmtId="0" fontId="9" fillId="6" borderId="1" xfId="0" applyFont="1" applyFill="1" applyBorder="1" applyAlignment="1">
      <alignment horizontal="left"/>
    </xf>
    <xf numFmtId="1" fontId="9" fillId="6" borderId="6" xfId="0" applyNumberFormat="1" applyFont="1" applyFill="1" applyBorder="1" applyAlignment="1">
      <alignment horizontal="left"/>
    </xf>
    <xf numFmtId="167" fontId="9" fillId="6" borderId="1" xfId="0" applyNumberFormat="1" applyFont="1" applyFill="1" applyBorder="1" applyAlignment="1">
      <alignment horizontal="left"/>
    </xf>
    <xf numFmtId="0" fontId="9" fillId="9" borderId="1" xfId="0" applyFont="1" applyFill="1" applyBorder="1" applyAlignment="1">
      <alignment horizontal="left"/>
    </xf>
    <xf numFmtId="43" fontId="9" fillId="9" borderId="1" xfId="0" applyNumberFormat="1" applyFont="1" applyFill="1" applyBorder="1" applyAlignment="1">
      <alignment horizontal="left"/>
    </xf>
    <xf numFmtId="2" fontId="9" fillId="9" borderId="1" xfId="0" applyNumberFormat="1" applyFont="1" applyFill="1" applyBorder="1" applyAlignment="1">
      <alignment horizontal="left"/>
    </xf>
    <xf numFmtId="0" fontId="10" fillId="10" borderId="1" xfId="6" applyFont="1" applyFill="1" applyBorder="1" applyAlignment="1">
      <alignment horizontal="center" vertical="center" wrapText="1"/>
    </xf>
    <xf numFmtId="0" fontId="10" fillId="7" borderId="1" xfId="6" applyFont="1" applyFill="1" applyBorder="1" applyAlignment="1">
      <alignment horizontal="center" vertical="center" wrapText="1"/>
    </xf>
    <xf numFmtId="0" fontId="10" fillId="3" borderId="1" xfId="6" applyFont="1" applyFill="1" applyBorder="1" applyAlignment="1">
      <alignment horizontal="center" vertical="center" wrapText="1"/>
    </xf>
    <xf numFmtId="43" fontId="10" fillId="3" borderId="1" xfId="1" applyFont="1" applyFill="1" applyBorder="1" applyAlignment="1">
      <alignment horizontal="center" vertical="center" wrapText="1"/>
    </xf>
    <xf numFmtId="165" fontId="11" fillId="7" borderId="7" xfId="2" applyNumberFormat="1" applyFont="1" applyFill="1" applyBorder="1" applyAlignment="1">
      <alignment horizontal="left" vertical="center" wrapText="1"/>
    </xf>
    <xf numFmtId="164" fontId="11" fillId="5" borderId="6" xfId="1" applyNumberFormat="1" applyFont="1" applyFill="1" applyBorder="1" applyAlignment="1">
      <alignment horizontal="left" vertical="center" wrapText="1"/>
    </xf>
    <xf numFmtId="165" fontId="11" fillId="4" borderId="6" xfId="2" applyNumberFormat="1" applyFont="1" applyFill="1" applyBorder="1" applyAlignment="1">
      <alignment horizontal="left" vertical="center" wrapText="1"/>
    </xf>
    <xf numFmtId="165" fontId="11" fillId="4" borderId="7" xfId="2" applyNumberFormat="1" applyFont="1" applyFill="1" applyBorder="1" applyAlignment="1">
      <alignment horizontal="left" vertical="center" wrapText="1"/>
    </xf>
    <xf numFmtId="165" fontId="11" fillId="8" borderId="7" xfId="2" applyNumberFormat="1" applyFont="1" applyFill="1" applyBorder="1" applyAlignment="1">
      <alignment horizontal="left" vertical="center" wrapText="1"/>
    </xf>
    <xf numFmtId="165" fontId="11" fillId="2" borderId="7" xfId="2" applyNumberFormat="1" applyFont="1" applyFill="1" applyBorder="1" applyAlignment="1">
      <alignment horizontal="left" vertical="center" wrapText="1"/>
    </xf>
    <xf numFmtId="164" fontId="11" fillId="0" borderId="6" xfId="1" applyNumberFormat="1" applyFont="1" applyFill="1" applyBorder="1" applyAlignment="1">
      <alignment horizontal="left" vertical="center" wrapText="1"/>
    </xf>
    <xf numFmtId="0" fontId="12" fillId="6" borderId="0" xfId="0" applyFont="1" applyFill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1" fontId="9" fillId="9" borderId="1" xfId="0" applyNumberFormat="1" applyFont="1" applyFill="1" applyBorder="1" applyAlignment="1">
      <alignment horizontal="left"/>
    </xf>
    <xf numFmtId="168" fontId="9" fillId="9" borderId="1" xfId="0" applyNumberFormat="1" applyFont="1" applyFill="1" applyBorder="1" applyAlignment="1">
      <alignment horizontal="left"/>
    </xf>
    <xf numFmtId="0" fontId="9" fillId="6" borderId="1" xfId="0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 vertical="center"/>
    </xf>
    <xf numFmtId="0" fontId="9" fillId="6" borderId="1" xfId="0" applyFont="1" applyFill="1" applyBorder="1" applyAlignment="1">
      <alignment horizontal="left" vertical="center" wrapText="1"/>
    </xf>
    <xf numFmtId="0" fontId="9" fillId="6" borderId="1" xfId="0" applyFont="1" applyFill="1" applyBorder="1" applyAlignment="1">
      <alignment horizontal="center" vertical="center"/>
    </xf>
    <xf numFmtId="15" fontId="9" fillId="6" borderId="1" xfId="0" applyNumberFormat="1" applyFont="1" applyFill="1" applyBorder="1" applyAlignment="1">
      <alignment horizontal="left" vertical="center"/>
    </xf>
    <xf numFmtId="0" fontId="0" fillId="6" borderId="1" xfId="0" applyFill="1" applyBorder="1" applyAlignment="1">
      <alignment horizontal="left"/>
    </xf>
    <xf numFmtId="43" fontId="9" fillId="6" borderId="1" xfId="0" applyNumberFormat="1" applyFont="1" applyFill="1" applyBorder="1" applyAlignment="1">
      <alignment horizontal="left"/>
    </xf>
    <xf numFmtId="2" fontId="9" fillId="6" borderId="1" xfId="0" applyNumberFormat="1" applyFont="1" applyFill="1" applyBorder="1" applyAlignment="1">
      <alignment horizontal="left"/>
    </xf>
    <xf numFmtId="168" fontId="9" fillId="6" borderId="1" xfId="0" applyNumberFormat="1" applyFont="1" applyFill="1" applyBorder="1" applyAlignment="1">
      <alignment horizontal="left"/>
    </xf>
    <xf numFmtId="2" fontId="9" fillId="6" borderId="1" xfId="0" quotePrefix="1" applyNumberFormat="1" applyFont="1" applyFill="1" applyBorder="1" applyAlignment="1">
      <alignment horizontal="left"/>
    </xf>
    <xf numFmtId="0" fontId="9" fillId="6" borderId="0" xfId="0" applyFont="1" applyFill="1" applyAlignment="1">
      <alignment horizontal="left"/>
    </xf>
    <xf numFmtId="0" fontId="7" fillId="9" borderId="1" xfId="0" applyFont="1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7" fillId="9" borderId="1" xfId="0" applyFont="1" applyFill="1" applyBorder="1" applyAlignment="1">
      <alignment horizontal="center"/>
    </xf>
    <xf numFmtId="43" fontId="7" fillId="9" borderId="1" xfId="0" applyNumberFormat="1" applyFont="1" applyFill="1" applyBorder="1" applyAlignment="1">
      <alignment horizontal="left"/>
    </xf>
    <xf numFmtId="43" fontId="7" fillId="9" borderId="1" xfId="0" applyNumberFormat="1" applyFont="1" applyFill="1" applyBorder="1" applyAlignment="1"/>
    <xf numFmtId="43" fontId="7" fillId="9" borderId="1" xfId="0" applyNumberFormat="1" applyFont="1" applyFill="1" applyBorder="1" applyAlignment="1">
      <alignment horizontal="center"/>
    </xf>
    <xf numFmtId="0" fontId="7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2" fontId="7" fillId="6" borderId="1" xfId="0" applyNumberFormat="1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2" fontId="7" fillId="9" borderId="1" xfId="0" applyNumberFormat="1" applyFont="1" applyFill="1" applyBorder="1" applyAlignment="1">
      <alignment horizontal="left"/>
    </xf>
    <xf numFmtId="0" fontId="7" fillId="6" borderId="1" xfId="0" quotePrefix="1" applyFont="1" applyFill="1" applyBorder="1" applyAlignment="1">
      <alignment horizontal="left"/>
    </xf>
    <xf numFmtId="168" fontId="7" fillId="6" borderId="1" xfId="0" applyNumberFormat="1" applyFont="1" applyFill="1" applyBorder="1" applyAlignment="1">
      <alignment horizontal="left"/>
    </xf>
    <xf numFmtId="0" fontId="9" fillId="6" borderId="1" xfId="0" applyFont="1" applyFill="1" applyBorder="1"/>
    <xf numFmtId="0" fontId="9" fillId="6" borderId="1" xfId="0" applyFont="1" applyFill="1" applyBorder="1" applyAlignment="1">
      <alignment vertical="center"/>
    </xf>
    <xf numFmtId="0" fontId="9" fillId="6" borderId="1" xfId="0" quotePrefix="1" applyFont="1" applyFill="1" applyBorder="1"/>
    <xf numFmtId="0" fontId="9" fillId="6" borderId="1" xfId="0" applyFont="1" applyFill="1" applyBorder="1" applyAlignment="1">
      <alignment horizontal="center"/>
    </xf>
    <xf numFmtId="44" fontId="9" fillId="6" borderId="1" xfId="2" applyFont="1" applyFill="1" applyBorder="1"/>
    <xf numFmtId="0" fontId="7" fillId="9" borderId="6" xfId="0" applyFont="1" applyFill="1" applyBorder="1" applyAlignment="1">
      <alignment horizontal="left"/>
    </xf>
    <xf numFmtId="0" fontId="0" fillId="9" borderId="6" xfId="0" applyFill="1" applyBorder="1" applyAlignment="1">
      <alignment horizontal="left"/>
    </xf>
    <xf numFmtId="44" fontId="0" fillId="9" borderId="6" xfId="0" applyNumberFormat="1" applyFill="1" applyBorder="1" applyAlignment="1">
      <alignment horizontal="left"/>
    </xf>
    <xf numFmtId="0" fontId="7" fillId="9" borderId="6" xfId="0" applyFont="1" applyFill="1" applyBorder="1" applyAlignment="1">
      <alignment horizontal="right"/>
    </xf>
    <xf numFmtId="2" fontId="7" fillId="9" borderId="6" xfId="0" applyNumberFormat="1" applyFont="1" applyFill="1" applyBorder="1" applyAlignment="1">
      <alignment horizontal="left"/>
    </xf>
    <xf numFmtId="1" fontId="7" fillId="9" borderId="6" xfId="0" applyNumberFormat="1" applyFont="1" applyFill="1" applyBorder="1" applyAlignment="1">
      <alignment horizontal="left"/>
    </xf>
    <xf numFmtId="0" fontId="0" fillId="6" borderId="1" xfId="0" applyFill="1" applyBorder="1"/>
    <xf numFmtId="1" fontId="7" fillId="6" borderId="1" xfId="0" applyNumberFormat="1" applyFont="1" applyFill="1" applyBorder="1" applyAlignment="1">
      <alignment horizontal="left"/>
    </xf>
    <xf numFmtId="44" fontId="0" fillId="6" borderId="1" xfId="2" applyFont="1" applyFill="1" applyBorder="1"/>
    <xf numFmtId="43" fontId="7" fillId="6" borderId="1" xfId="0" applyNumberFormat="1" applyFont="1" applyFill="1" applyBorder="1" applyAlignment="1">
      <alignment horizontal="left"/>
    </xf>
    <xf numFmtId="1" fontId="7" fillId="9" borderId="1" xfId="0" applyNumberFormat="1" applyFont="1" applyFill="1" applyBorder="1" applyAlignment="1">
      <alignment horizontal="left"/>
    </xf>
    <xf numFmtId="0" fontId="0" fillId="6" borderId="1" xfId="0" quotePrefix="1" applyFill="1" applyBorder="1"/>
    <xf numFmtId="43" fontId="0" fillId="6" borderId="1" xfId="1" applyFont="1" applyFill="1" applyBorder="1"/>
    <xf numFmtId="165" fontId="7" fillId="9" borderId="1" xfId="0" applyNumberFormat="1" applyFont="1" applyFill="1" applyBorder="1" applyAlignment="1">
      <alignment horizontal="left"/>
    </xf>
    <xf numFmtId="44" fontId="7" fillId="9" borderId="1" xfId="2" applyFont="1" applyFill="1" applyBorder="1" applyAlignment="1">
      <alignment horizontal="left"/>
    </xf>
    <xf numFmtId="164" fontId="7" fillId="9" borderId="1" xfId="0" applyNumberFormat="1" applyFont="1" applyFill="1" applyBorder="1" applyAlignment="1">
      <alignment horizontal="left"/>
    </xf>
    <xf numFmtId="164" fontId="7" fillId="9" borderId="1" xfId="0" applyNumberFormat="1" applyFont="1" applyFill="1" applyBorder="1" applyAlignment="1"/>
    <xf numFmtId="165" fontId="7" fillId="9" borderId="1" xfId="0" quotePrefix="1" applyNumberFormat="1" applyFont="1" applyFill="1" applyBorder="1" applyAlignment="1">
      <alignment horizontal="left"/>
    </xf>
    <xf numFmtId="1" fontId="7" fillId="6" borderId="1" xfId="0" applyNumberFormat="1" applyFont="1" applyFill="1" applyBorder="1" applyAlignment="1">
      <alignment horizontal="right"/>
    </xf>
    <xf numFmtId="165" fontId="0" fillId="6" borderId="1" xfId="2" applyNumberFormat="1" applyFont="1" applyFill="1" applyBorder="1"/>
    <xf numFmtId="165" fontId="0" fillId="6" borderId="1" xfId="2" applyNumberFormat="1" applyFont="1" applyFill="1" applyBorder="1" applyAlignment="1">
      <alignment horizontal="left"/>
    </xf>
    <xf numFmtId="165" fontId="0" fillId="9" borderId="1" xfId="0" applyNumberFormat="1" applyFill="1" applyBorder="1" applyAlignment="1">
      <alignment horizontal="left"/>
    </xf>
    <xf numFmtId="44" fontId="0" fillId="6" borderId="1" xfId="0" applyNumberFormat="1" applyFill="1" applyBorder="1" applyAlignment="1">
      <alignment horizontal="left"/>
    </xf>
    <xf numFmtId="44" fontId="0" fillId="9" borderId="1" xfId="0" applyNumberFormat="1" applyFill="1" applyBorder="1" applyAlignment="1">
      <alignment horizontal="left"/>
    </xf>
    <xf numFmtId="0" fontId="7" fillId="9" borderId="1" xfId="0" quotePrefix="1" applyFont="1" applyFill="1" applyBorder="1" applyAlignment="1">
      <alignment horizontal="left"/>
    </xf>
    <xf numFmtId="43" fontId="9" fillId="0" borderId="1" xfId="0" applyNumberFormat="1" applyFont="1" applyFill="1" applyBorder="1" applyAlignment="1"/>
    <xf numFmtId="0" fontId="7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quotePrefix="1" applyFont="1" applyFill="1" applyBorder="1" applyAlignment="1">
      <alignment horizontal="left"/>
    </xf>
    <xf numFmtId="0" fontId="14" fillId="9" borderId="1" xfId="0" applyFont="1" applyFill="1" applyBorder="1" applyAlignment="1">
      <alignment horizontal="left"/>
    </xf>
    <xf numFmtId="0" fontId="13" fillId="9" borderId="1" xfId="0" applyFont="1" applyFill="1" applyBorder="1" applyAlignment="1">
      <alignment horizontal="left"/>
    </xf>
    <xf numFmtId="0" fontId="0" fillId="6" borderId="1" xfId="0" applyFill="1" applyBorder="1" applyAlignment="1">
      <alignment horizontal="center"/>
    </xf>
    <xf numFmtId="0" fontId="15" fillId="9" borderId="1" xfId="0" applyFont="1" applyFill="1" applyBorder="1" applyAlignment="1">
      <alignment horizontal="left"/>
    </xf>
    <xf numFmtId="168" fontId="15" fillId="9" borderId="1" xfId="0" applyNumberFormat="1" applyFont="1" applyFill="1" applyBorder="1" applyAlignment="1">
      <alignment horizontal="left"/>
    </xf>
    <xf numFmtId="0" fontId="9" fillId="6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15" fontId="9" fillId="0" borderId="1" xfId="0" applyNumberFormat="1" applyFont="1" applyFill="1" applyBorder="1" applyAlignment="1">
      <alignment vertical="center"/>
    </xf>
    <xf numFmtId="1" fontId="9" fillId="6" borderId="6" xfId="0" applyNumberFormat="1" applyFont="1" applyFill="1" applyBorder="1" applyAlignment="1">
      <alignment vertical="center"/>
    </xf>
    <xf numFmtId="167" fontId="9" fillId="6" borderId="1" xfId="0" applyNumberFormat="1" applyFont="1" applyFill="1" applyBorder="1" applyAlignment="1">
      <alignment vertical="center"/>
    </xf>
    <xf numFmtId="44" fontId="9" fillId="6" borderId="1" xfId="2" applyFont="1" applyFill="1" applyBorder="1" applyAlignment="1">
      <alignment vertical="center"/>
    </xf>
    <xf numFmtId="0" fontId="0" fillId="0" borderId="1" xfId="0" applyFill="1" applyBorder="1" applyAlignment="1"/>
    <xf numFmtId="0" fontId="7" fillId="0" borderId="1" xfId="0" quotePrefix="1" applyFont="1" applyFill="1" applyBorder="1" applyAlignment="1"/>
    <xf numFmtId="0" fontId="9" fillId="0" borderId="1" xfId="0" applyFont="1" applyFill="1" applyBorder="1" applyAlignment="1"/>
    <xf numFmtId="0" fontId="7" fillId="0" borderId="1" xfId="0" applyFont="1" applyFill="1" applyBorder="1" applyAlignment="1"/>
    <xf numFmtId="2" fontId="9" fillId="6" borderId="1" xfId="0" applyNumberFormat="1" applyFont="1" applyFill="1" applyBorder="1" applyAlignment="1"/>
    <xf numFmtId="2" fontId="9" fillId="0" borderId="1" xfId="0" applyNumberFormat="1" applyFont="1" applyFill="1" applyBorder="1" applyAlignment="1"/>
    <xf numFmtId="2" fontId="9" fillId="7" borderId="1" xfId="0" quotePrefix="1" applyNumberFormat="1" applyFont="1" applyFill="1" applyBorder="1" applyAlignment="1"/>
    <xf numFmtId="2" fontId="9" fillId="0" borderId="1" xfId="0" quotePrefix="1" applyNumberFormat="1" applyFont="1" applyFill="1" applyBorder="1" applyAlignment="1"/>
    <xf numFmtId="2" fontId="9" fillId="2" borderId="1" xfId="0" quotePrefix="1" applyNumberFormat="1" applyFont="1" applyFill="1" applyBorder="1" applyAlignment="1"/>
    <xf numFmtId="0" fontId="7" fillId="0" borderId="1" xfId="0" applyFont="1" applyBorder="1" applyAlignment="1"/>
    <xf numFmtId="0" fontId="7" fillId="6" borderId="0" xfId="0" applyFont="1" applyFill="1" applyBorder="1" applyAlignment="1"/>
    <xf numFmtId="0" fontId="7" fillId="0" borderId="0" xfId="0" applyFont="1" applyBorder="1" applyAlignment="1"/>
    <xf numFmtId="0" fontId="7" fillId="0" borderId="0" xfId="0" applyFont="1" applyAlignment="1"/>
    <xf numFmtId="0" fontId="7" fillId="9" borderId="1" xfId="0" applyFont="1" applyFill="1" applyBorder="1" applyAlignment="1"/>
    <xf numFmtId="0" fontId="0" fillId="9" borderId="1" xfId="0" applyFill="1" applyBorder="1" applyAlignment="1"/>
    <xf numFmtId="0" fontId="0" fillId="0" borderId="1" xfId="0" applyBorder="1" applyAlignment="1"/>
    <xf numFmtId="15" fontId="9" fillId="6" borderId="1" xfId="0" applyNumberFormat="1" applyFont="1" applyFill="1" applyBorder="1" applyAlignment="1">
      <alignment vertical="center"/>
    </xf>
    <xf numFmtId="1" fontId="9" fillId="6" borderId="1" xfId="0" applyNumberFormat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43" fontId="9" fillId="0" borderId="1" xfId="0" applyNumberFormat="1" applyFont="1" applyFill="1" applyBorder="1" applyAlignment="1">
      <alignment vertical="center"/>
    </xf>
    <xf numFmtId="0" fontId="7" fillId="0" borderId="1" xfId="0" quotePrefix="1" applyFont="1" applyFill="1" applyBorder="1" applyAlignment="1">
      <alignment vertical="center"/>
    </xf>
    <xf numFmtId="2" fontId="9" fillId="6" borderId="1" xfId="0" applyNumberFormat="1" applyFont="1" applyFill="1" applyBorder="1" applyAlignment="1">
      <alignment vertical="center"/>
    </xf>
    <xf numFmtId="2" fontId="9" fillId="0" borderId="1" xfId="0" applyNumberFormat="1" applyFont="1" applyFill="1" applyBorder="1" applyAlignment="1">
      <alignment vertical="center"/>
    </xf>
    <xf numFmtId="2" fontId="9" fillId="7" borderId="1" xfId="0" quotePrefix="1" applyNumberFormat="1" applyFont="1" applyFill="1" applyBorder="1" applyAlignment="1">
      <alignment vertical="center"/>
    </xf>
    <xf numFmtId="2" fontId="9" fillId="0" borderId="1" xfId="0" quotePrefix="1" applyNumberFormat="1" applyFont="1" applyFill="1" applyBorder="1" applyAlignment="1">
      <alignment vertical="center"/>
    </xf>
    <xf numFmtId="2" fontId="9" fillId="2" borderId="1" xfId="0" quotePrefix="1" applyNumberFormat="1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6" borderId="0" xfId="0" applyFont="1" applyFill="1" applyBorder="1" applyAlignme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16" fillId="0" borderId="1" xfId="0" applyFont="1" applyFill="1" applyBorder="1" applyAlignment="1"/>
    <xf numFmtId="0" fontId="9" fillId="6" borderId="1" xfId="0" applyFont="1" applyFill="1" applyBorder="1" applyAlignment="1"/>
    <xf numFmtId="0" fontId="16" fillId="0" borderId="1" xfId="0" applyFont="1" applyFill="1" applyBorder="1" applyAlignment="1">
      <alignment vertical="center"/>
    </xf>
    <xf numFmtId="0" fontId="16" fillId="0" borderId="1" xfId="0" quotePrefix="1" applyFont="1" applyFill="1" applyBorder="1" applyAlignment="1"/>
    <xf numFmtId="2" fontId="9" fillId="6" borderId="1" xfId="0" quotePrefix="1" applyNumberFormat="1" applyFont="1" applyFill="1" applyBorder="1" applyAlignment="1">
      <alignment vertical="center"/>
    </xf>
    <xf numFmtId="0" fontId="16" fillId="0" borderId="1" xfId="0" applyFont="1" applyBorder="1" applyAlignment="1"/>
    <xf numFmtId="0" fontId="16" fillId="6" borderId="0" xfId="0" applyFont="1" applyFill="1" applyBorder="1" applyAlignment="1"/>
    <xf numFmtId="0" fontId="16" fillId="0" borderId="0" xfId="0" applyFont="1" applyBorder="1" applyAlignment="1"/>
    <xf numFmtId="0" fontId="16" fillId="0" borderId="0" xfId="0" applyFont="1" applyAlignment="1"/>
    <xf numFmtId="0" fontId="16" fillId="9" borderId="1" xfId="0" applyFont="1" applyFill="1" applyBorder="1" applyAlignment="1"/>
    <xf numFmtId="0" fontId="9" fillId="9" borderId="1" xfId="0" applyFont="1" applyFill="1" applyBorder="1" applyAlignment="1"/>
    <xf numFmtId="44" fontId="9" fillId="9" borderId="1" xfId="0" applyNumberFormat="1" applyFont="1" applyFill="1" applyBorder="1" applyAlignment="1"/>
    <xf numFmtId="44" fontId="16" fillId="9" borderId="1" xfId="2" applyFont="1" applyFill="1" applyBorder="1" applyAlignment="1"/>
    <xf numFmtId="43" fontId="16" fillId="9" borderId="1" xfId="0" applyNumberFormat="1" applyFont="1" applyFill="1" applyBorder="1" applyAlignment="1"/>
    <xf numFmtId="0" fontId="16" fillId="6" borderId="1" xfId="0" applyFont="1" applyFill="1" applyBorder="1" applyAlignment="1"/>
    <xf numFmtId="0" fontId="7" fillId="6" borderId="1" xfId="0" applyFont="1" applyFill="1" applyBorder="1" applyAlignment="1"/>
    <xf numFmtId="0" fontId="0" fillId="6" borderId="1" xfId="0" applyFill="1" applyBorder="1" applyAlignment="1"/>
    <xf numFmtId="0" fontId="7" fillId="6" borderId="0" xfId="0" applyFont="1" applyFill="1" applyAlignment="1"/>
    <xf numFmtId="0" fontId="7" fillId="6" borderId="1" xfId="0" applyFont="1" applyFill="1" applyBorder="1" applyAlignment="1">
      <alignment horizontal="right"/>
    </xf>
    <xf numFmtId="165" fontId="9" fillId="6" borderId="1" xfId="2" applyNumberFormat="1" applyFont="1" applyFill="1" applyBorder="1" applyAlignment="1">
      <alignment horizontal="left" vertical="center"/>
    </xf>
    <xf numFmtId="0" fontId="7" fillId="6" borderId="1" xfId="0" quotePrefix="1" applyFont="1" applyFill="1" applyBorder="1" applyAlignment="1"/>
    <xf numFmtId="2" fontId="7" fillId="6" borderId="1" xfId="0" applyNumberFormat="1" applyFont="1" applyFill="1" applyBorder="1" applyAlignment="1"/>
    <xf numFmtId="165" fontId="9" fillId="6" borderId="1" xfId="2" applyNumberFormat="1" applyFont="1" applyFill="1" applyBorder="1" applyAlignment="1">
      <alignment vertical="center"/>
    </xf>
    <xf numFmtId="44" fontId="0" fillId="6" borderId="1" xfId="2" applyFont="1" applyFill="1" applyBorder="1" applyAlignment="1"/>
    <xf numFmtId="0" fontId="16" fillId="6" borderId="1" xfId="0" applyFont="1" applyFill="1" applyBorder="1" applyAlignment="1">
      <alignment vertical="center"/>
    </xf>
    <xf numFmtId="0" fontId="0" fillId="6" borderId="1" xfId="0" applyFill="1" applyBorder="1" applyAlignment="1">
      <alignment horizontal="right"/>
    </xf>
    <xf numFmtId="1" fontId="9" fillId="6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/>
    </xf>
    <xf numFmtId="2" fontId="7" fillId="9" borderId="1" xfId="0" applyNumberFormat="1" applyFont="1" applyFill="1" applyBorder="1" applyAlignment="1">
      <alignment horizontal="right"/>
    </xf>
    <xf numFmtId="43" fontId="9" fillId="6" borderId="1" xfId="0" applyNumberFormat="1" applyFont="1" applyFill="1" applyBorder="1" applyAlignment="1"/>
    <xf numFmtId="43" fontId="9" fillId="6" borderId="1" xfId="0" applyNumberFormat="1" applyFont="1" applyFill="1" applyBorder="1" applyAlignment="1">
      <alignment vertical="center"/>
    </xf>
    <xf numFmtId="0" fontId="9" fillId="0" borderId="1" xfId="0" applyFont="1" applyBorder="1"/>
    <xf numFmtId="15" fontId="9" fillId="0" borderId="1" xfId="0" applyNumberFormat="1" applyFont="1" applyBorder="1" applyAlignment="1">
      <alignment horizontal="left"/>
    </xf>
    <xf numFmtId="44" fontId="9" fillId="0" borderId="1" xfId="2" applyFont="1" applyBorder="1"/>
    <xf numFmtId="15" fontId="9" fillId="6" borderId="1" xfId="0" applyNumberFormat="1" applyFont="1" applyFill="1" applyBorder="1" applyAlignment="1">
      <alignment horizontal="center" vertical="center"/>
    </xf>
    <xf numFmtId="1" fontId="9" fillId="6" borderId="1" xfId="0" applyNumberFormat="1" applyFont="1" applyFill="1" applyBorder="1" applyAlignment="1">
      <alignment horizontal="center" vertical="center"/>
    </xf>
    <xf numFmtId="44" fontId="9" fillId="6" borderId="1" xfId="2" applyFont="1" applyFill="1" applyBorder="1" applyAlignment="1">
      <alignment horizontal="left" vertical="center"/>
    </xf>
    <xf numFmtId="0" fontId="16" fillId="6" borderId="1" xfId="0" quotePrefix="1" applyFont="1" applyFill="1" applyBorder="1" applyAlignment="1"/>
    <xf numFmtId="2" fontId="16" fillId="6" borderId="1" xfId="0" applyNumberFormat="1" applyFont="1" applyFill="1" applyBorder="1" applyAlignment="1"/>
    <xf numFmtId="0" fontId="16" fillId="6" borderId="0" xfId="0" applyFont="1" applyFill="1" applyAlignment="1"/>
    <xf numFmtId="0" fontId="16" fillId="6" borderId="1" xfId="0" applyFont="1" applyFill="1" applyBorder="1" applyAlignment="1">
      <alignment horizontal="left"/>
    </xf>
    <xf numFmtId="0" fontId="16" fillId="6" borderId="0" xfId="0" applyFont="1" applyFill="1" applyBorder="1" applyAlignment="1">
      <alignment horizontal="left"/>
    </xf>
    <xf numFmtId="0" fontId="16" fillId="6" borderId="0" xfId="0" applyFont="1" applyFill="1" applyAlignment="1">
      <alignment horizontal="left"/>
    </xf>
    <xf numFmtId="0" fontId="16" fillId="9" borderId="1" xfId="0" applyFont="1" applyFill="1" applyBorder="1" applyAlignment="1">
      <alignment horizontal="left"/>
    </xf>
    <xf numFmtId="165" fontId="9" fillId="9" borderId="1" xfId="0" applyNumberFormat="1" applyFont="1" applyFill="1" applyBorder="1" applyAlignment="1">
      <alignment horizontal="left"/>
    </xf>
    <xf numFmtId="43" fontId="16" fillId="9" borderId="1" xfId="0" applyNumberFormat="1" applyFont="1" applyFill="1" applyBorder="1" applyAlignment="1">
      <alignment horizontal="left"/>
    </xf>
    <xf numFmtId="44" fontId="16" fillId="9" borderId="1" xfId="2" applyFont="1" applyFill="1" applyBorder="1" applyAlignment="1">
      <alignment horizontal="left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left"/>
    </xf>
    <xf numFmtId="1" fontId="16" fillId="6" borderId="1" xfId="0" quotePrefix="1" applyNumberFormat="1" applyFont="1" applyFill="1" applyBorder="1" applyAlignment="1"/>
    <xf numFmtId="0" fontId="12" fillId="6" borderId="1" xfId="0" applyFont="1" applyFill="1" applyBorder="1"/>
    <xf numFmtId="0" fontId="12" fillId="6" borderId="1" xfId="0" applyFont="1" applyFill="1" applyBorder="1" applyAlignment="1">
      <alignment vertical="center"/>
    </xf>
    <xf numFmtId="0" fontId="12" fillId="6" borderId="1" xfId="0" applyFont="1" applyFill="1" applyBorder="1" applyAlignment="1">
      <alignment wrapText="1"/>
    </xf>
    <xf numFmtId="0" fontId="18" fillId="6" borderId="1" xfId="0" applyFont="1" applyFill="1" applyBorder="1" applyAlignment="1"/>
    <xf numFmtId="15" fontId="12" fillId="6" borderId="1" xfId="0" applyNumberFormat="1" applyFont="1" applyFill="1" applyBorder="1"/>
    <xf numFmtId="1" fontId="12" fillId="6" borderId="1" xfId="0" applyNumberFormat="1" applyFont="1" applyFill="1" applyBorder="1" applyAlignment="1">
      <alignment horizontal="center" vertical="center"/>
    </xf>
    <xf numFmtId="44" fontId="12" fillId="6" borderId="1" xfId="2" applyFont="1" applyFill="1" applyBorder="1"/>
    <xf numFmtId="165" fontId="12" fillId="6" borderId="1" xfId="2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/>
    <xf numFmtId="0" fontId="18" fillId="6" borderId="1" xfId="0" quotePrefix="1" applyFont="1" applyFill="1" applyBorder="1" applyAlignment="1"/>
    <xf numFmtId="43" fontId="12" fillId="0" borderId="1" xfId="0" applyNumberFormat="1" applyFont="1" applyFill="1" applyBorder="1" applyAlignment="1"/>
    <xf numFmtId="1" fontId="18" fillId="6" borderId="1" xfId="0" quotePrefix="1" applyNumberFormat="1" applyFont="1" applyFill="1" applyBorder="1" applyAlignment="1"/>
    <xf numFmtId="43" fontId="12" fillId="0" borderId="1" xfId="0" applyNumberFormat="1" applyFont="1" applyFill="1" applyBorder="1" applyAlignment="1">
      <alignment vertical="center"/>
    </xf>
    <xf numFmtId="2" fontId="12" fillId="6" borderId="1" xfId="0" applyNumberFormat="1" applyFont="1" applyFill="1" applyBorder="1" applyAlignment="1"/>
    <xf numFmtId="2" fontId="12" fillId="0" borderId="1" xfId="0" applyNumberFormat="1" applyFont="1" applyFill="1" applyBorder="1" applyAlignment="1">
      <alignment vertical="center"/>
    </xf>
    <xf numFmtId="2" fontId="18" fillId="6" borderId="1" xfId="0" applyNumberFormat="1" applyFont="1" applyFill="1" applyBorder="1" applyAlignment="1"/>
    <xf numFmtId="0" fontId="18" fillId="0" borderId="1" xfId="0" quotePrefix="1" applyFont="1" applyFill="1" applyBorder="1" applyAlignment="1"/>
    <xf numFmtId="2" fontId="12" fillId="6" borderId="1" xfId="0" quotePrefix="1" applyNumberFormat="1" applyFont="1" applyFill="1" applyBorder="1" applyAlignment="1">
      <alignment vertical="center"/>
    </xf>
    <xf numFmtId="2" fontId="12" fillId="2" borderId="1" xfId="0" quotePrefix="1" applyNumberFormat="1" applyFont="1" applyFill="1" applyBorder="1" applyAlignment="1">
      <alignment vertical="center"/>
    </xf>
    <xf numFmtId="0" fontId="18" fillId="6" borderId="0" xfId="0" applyFont="1" applyFill="1" applyBorder="1" applyAlignment="1"/>
    <xf numFmtId="0" fontId="18" fillId="6" borderId="0" xfId="0" applyFont="1" applyFill="1" applyAlignment="1"/>
    <xf numFmtId="0" fontId="18" fillId="6" borderId="1" xfId="0" applyFont="1" applyFill="1" applyBorder="1" applyAlignment="1">
      <alignment horizontal="left"/>
    </xf>
    <xf numFmtId="0" fontId="12" fillId="6" borderId="1" xfId="0" applyFont="1" applyFill="1" applyBorder="1" applyAlignment="1">
      <alignment horizontal="left"/>
    </xf>
    <xf numFmtId="0" fontId="18" fillId="6" borderId="0" xfId="0" applyFont="1" applyFill="1" applyBorder="1" applyAlignment="1">
      <alignment horizontal="left"/>
    </xf>
    <xf numFmtId="0" fontId="18" fillId="6" borderId="0" xfId="0" applyFont="1" applyFill="1" applyAlignment="1">
      <alignment horizontal="left"/>
    </xf>
    <xf numFmtId="0" fontId="9" fillId="0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9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vertical="center"/>
    </xf>
    <xf numFmtId="0" fontId="16" fillId="0" borderId="8" xfId="0" applyFont="1" applyFill="1" applyBorder="1" applyAlignment="1">
      <alignment vertical="center"/>
    </xf>
    <xf numFmtId="0" fontId="16" fillId="0" borderId="9" xfId="0" applyFont="1" applyFill="1" applyBorder="1" applyAlignment="1">
      <alignment vertical="center"/>
    </xf>
    <xf numFmtId="0" fontId="0" fillId="0" borderId="1" xfId="0" applyBorder="1"/>
    <xf numFmtId="0" fontId="0" fillId="9" borderId="1" xfId="0" applyFill="1" applyBorder="1"/>
    <xf numFmtId="15" fontId="0" fillId="0" borderId="1" xfId="0" applyNumberFormat="1" applyBorder="1"/>
    <xf numFmtId="44" fontId="0" fillId="0" borderId="1" xfId="2" applyFont="1" applyBorder="1"/>
    <xf numFmtId="44" fontId="0" fillId="9" borderId="1" xfId="2" applyFont="1" applyFill="1" applyBorder="1"/>
    <xf numFmtId="0" fontId="0" fillId="0" borderId="1" xfId="0" quotePrefix="1" applyBorder="1"/>
  </cellXfs>
  <cellStyles count="7">
    <cellStyle name="Comma" xfId="1" builtinId="3"/>
    <cellStyle name="Comma 2" xfId="3"/>
    <cellStyle name="Currency" xfId="2" builtinId="4"/>
    <cellStyle name="Normal" xfId="0" builtinId="0"/>
    <cellStyle name="Normal 2 2" xfId="6"/>
    <cellStyle name="Normal 2 3" xfId="4"/>
    <cellStyle name="Normal 3" xfId="5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X75"/>
  <sheetViews>
    <sheetView topLeftCell="A52" workbookViewId="0">
      <selection activeCell="D65" sqref="D65:D70"/>
    </sheetView>
  </sheetViews>
  <sheetFormatPr defaultColWidth="16.54296875" defaultRowHeight="13" x14ac:dyDescent="0.3"/>
  <cols>
    <col min="1" max="1" width="4.26953125" style="55" customWidth="1"/>
    <col min="2" max="2" width="25.26953125" style="56" customWidth="1"/>
    <col min="3" max="3" width="56.453125" style="11" customWidth="1"/>
    <col min="4" max="4" width="9.26953125" style="57" customWidth="1"/>
    <col min="5" max="14" width="16.54296875" style="11"/>
    <col min="15" max="21" width="16.54296875" style="12"/>
    <col min="22" max="23" width="16.54296875" style="13"/>
    <col min="24" max="24" width="16.54296875" style="12"/>
    <col min="25" max="16384" width="16.54296875" style="11"/>
  </cols>
  <sheetData>
    <row r="2" spans="1:24" s="4" customFormat="1" ht="56.25" customHeight="1" x14ac:dyDescent="0.35">
      <c r="A2" s="1" t="s">
        <v>10</v>
      </c>
      <c r="B2" s="2" t="s">
        <v>0</v>
      </c>
      <c r="C2" s="3" t="s">
        <v>1</v>
      </c>
      <c r="D2" s="3" t="s">
        <v>11</v>
      </c>
      <c r="E2" s="3" t="s">
        <v>4</v>
      </c>
      <c r="F2" s="3" t="s">
        <v>5</v>
      </c>
      <c r="O2" s="5"/>
      <c r="P2" s="5"/>
      <c r="Q2" s="5"/>
      <c r="R2" s="5"/>
      <c r="S2" s="5"/>
      <c r="T2" s="5"/>
      <c r="U2" s="5"/>
      <c r="V2" s="6"/>
      <c r="W2" s="6"/>
      <c r="X2" s="5"/>
    </row>
    <row r="3" spans="1:24" x14ac:dyDescent="0.3">
      <c r="A3" s="7">
        <v>-1</v>
      </c>
      <c r="B3" s="8" t="s">
        <v>12</v>
      </c>
      <c r="C3" s="9" t="s">
        <v>13</v>
      </c>
      <c r="D3" s="10">
        <v>20</v>
      </c>
      <c r="E3" s="9"/>
      <c r="F3" s="9"/>
    </row>
    <row r="4" spans="1:24" x14ac:dyDescent="0.3">
      <c r="A4" s="14"/>
      <c r="B4" s="15" t="s">
        <v>14</v>
      </c>
      <c r="C4" s="16" t="s">
        <v>15</v>
      </c>
      <c r="D4" s="17">
        <v>1</v>
      </c>
      <c r="E4" s="16"/>
      <c r="F4" s="16"/>
    </row>
    <row r="5" spans="1:24" x14ac:dyDescent="0.3">
      <c r="A5" s="14"/>
      <c r="B5" s="15"/>
      <c r="C5" s="16" t="s">
        <v>16</v>
      </c>
      <c r="D5" s="17">
        <v>20</v>
      </c>
      <c r="E5" s="18">
        <v>41303</v>
      </c>
      <c r="F5" s="18">
        <v>41316</v>
      </c>
    </row>
    <row r="6" spans="1:24" x14ac:dyDescent="0.3">
      <c r="A6" s="14"/>
      <c r="B6" s="15" t="s">
        <v>17</v>
      </c>
      <c r="C6" s="16" t="s">
        <v>18</v>
      </c>
      <c r="D6" s="17">
        <v>2</v>
      </c>
      <c r="E6" s="17" t="s">
        <v>8</v>
      </c>
      <c r="F6" s="17" t="s">
        <v>6</v>
      </c>
    </row>
    <row r="7" spans="1:24" x14ac:dyDescent="0.3">
      <c r="A7" s="14"/>
      <c r="B7" s="15" t="s">
        <v>19</v>
      </c>
      <c r="C7" s="16" t="s">
        <v>20</v>
      </c>
      <c r="D7" s="17">
        <v>5</v>
      </c>
      <c r="E7" s="16"/>
      <c r="F7" s="16"/>
    </row>
    <row r="8" spans="1:24" x14ac:dyDescent="0.3">
      <c r="A8" s="14"/>
      <c r="B8" s="15" t="s">
        <v>21</v>
      </c>
      <c r="C8" s="16" t="s">
        <v>22</v>
      </c>
      <c r="D8" s="17">
        <v>60</v>
      </c>
      <c r="E8" s="16"/>
      <c r="F8" s="16"/>
    </row>
    <row r="9" spans="1:24" ht="18" customHeight="1" x14ac:dyDescent="0.3">
      <c r="A9" s="19"/>
      <c r="B9" s="20"/>
      <c r="C9" s="21"/>
      <c r="D9" s="22"/>
      <c r="E9" s="21"/>
      <c r="F9" s="21"/>
    </row>
    <row r="10" spans="1:24" x14ac:dyDescent="0.3">
      <c r="A10" s="14">
        <v>-2</v>
      </c>
      <c r="B10" s="15" t="s">
        <v>23</v>
      </c>
      <c r="C10" s="16" t="s">
        <v>24</v>
      </c>
      <c r="D10" s="16"/>
      <c r="E10" s="18">
        <v>41296</v>
      </c>
      <c r="F10" s="18">
        <v>41330</v>
      </c>
    </row>
    <row r="11" spans="1:24" x14ac:dyDescent="0.3">
      <c r="A11" s="14"/>
      <c r="B11" s="15"/>
      <c r="C11" s="16" t="s">
        <v>25</v>
      </c>
      <c r="D11" s="17">
        <v>2</v>
      </c>
      <c r="E11" s="16" t="s">
        <v>9</v>
      </c>
      <c r="F11" s="16" t="s">
        <v>6</v>
      </c>
    </row>
    <row r="12" spans="1:24" ht="18" customHeight="1" x14ac:dyDescent="0.3">
      <c r="A12" s="19"/>
      <c r="B12" s="20"/>
      <c r="C12" s="21"/>
      <c r="D12" s="22"/>
      <c r="E12" s="21"/>
      <c r="F12" s="21"/>
    </row>
    <row r="13" spans="1:24" x14ac:dyDescent="0.3">
      <c r="A13" s="14">
        <v>-3</v>
      </c>
      <c r="B13" s="15" t="s">
        <v>23</v>
      </c>
      <c r="C13" s="16" t="s">
        <v>26</v>
      </c>
      <c r="D13" s="17"/>
      <c r="E13" s="16"/>
      <c r="F13" s="16"/>
    </row>
    <row r="14" spans="1:24" x14ac:dyDescent="0.3">
      <c r="A14" s="14"/>
      <c r="B14" s="15" t="s">
        <v>27</v>
      </c>
      <c r="C14" s="16" t="s">
        <v>28</v>
      </c>
      <c r="D14" s="17">
        <v>4</v>
      </c>
      <c r="E14" s="23">
        <v>41309</v>
      </c>
      <c r="F14" s="23">
        <v>41345</v>
      </c>
    </row>
    <row r="15" spans="1:24" x14ac:dyDescent="0.3">
      <c r="A15" s="14"/>
      <c r="B15" s="15" t="s">
        <v>29</v>
      </c>
      <c r="C15" s="16" t="s">
        <v>30</v>
      </c>
      <c r="D15" s="17">
        <v>1</v>
      </c>
      <c r="E15" s="16" t="s">
        <v>31</v>
      </c>
      <c r="F15" s="17" t="s">
        <v>6</v>
      </c>
    </row>
    <row r="16" spans="1:24" x14ac:dyDescent="0.3">
      <c r="A16" s="14"/>
      <c r="B16" s="15" t="s">
        <v>32</v>
      </c>
      <c r="C16" s="16" t="s">
        <v>33</v>
      </c>
      <c r="D16" s="17">
        <v>3</v>
      </c>
      <c r="E16" s="16"/>
      <c r="F16" s="16"/>
    </row>
    <row r="17" spans="1:24" s="28" customFormat="1" x14ac:dyDescent="0.3">
      <c r="A17" s="24"/>
      <c r="B17" s="25"/>
      <c r="C17" s="26"/>
      <c r="D17" s="27"/>
      <c r="E17" s="26"/>
      <c r="F17" s="26"/>
      <c r="O17" s="29"/>
      <c r="P17" s="29"/>
      <c r="Q17" s="29"/>
      <c r="R17" s="29"/>
      <c r="S17" s="29"/>
      <c r="T17" s="29"/>
      <c r="U17" s="29"/>
      <c r="V17" s="30"/>
      <c r="W17" s="30"/>
      <c r="X17" s="29"/>
    </row>
    <row r="18" spans="1:24" s="28" customFormat="1" x14ac:dyDescent="0.3">
      <c r="A18" s="24"/>
      <c r="B18" s="25"/>
      <c r="C18" s="26"/>
      <c r="D18" s="27"/>
      <c r="E18" s="26"/>
      <c r="F18" s="26"/>
      <c r="O18" s="29"/>
      <c r="P18" s="29"/>
      <c r="Q18" s="29"/>
      <c r="R18" s="29"/>
      <c r="S18" s="29"/>
      <c r="T18" s="29"/>
      <c r="U18" s="29"/>
      <c r="V18" s="30"/>
      <c r="W18" s="30"/>
      <c r="X18" s="29"/>
    </row>
    <row r="19" spans="1:24" x14ac:dyDescent="0.3">
      <c r="A19" s="14"/>
      <c r="B19" s="15" t="s">
        <v>34</v>
      </c>
      <c r="C19" s="16"/>
      <c r="D19" s="17"/>
      <c r="E19" s="16"/>
      <c r="F19" s="16"/>
    </row>
    <row r="20" spans="1:24" x14ac:dyDescent="0.3">
      <c r="A20" s="14">
        <v>-4</v>
      </c>
      <c r="B20" s="15" t="s">
        <v>35</v>
      </c>
      <c r="C20" s="16" t="s">
        <v>36</v>
      </c>
      <c r="D20" s="17">
        <v>1</v>
      </c>
      <c r="E20" s="16"/>
      <c r="F20" s="16"/>
    </row>
    <row r="21" spans="1:24" x14ac:dyDescent="0.3">
      <c r="A21" s="14"/>
      <c r="B21" s="15" t="s">
        <v>37</v>
      </c>
      <c r="C21" s="16" t="s">
        <v>38</v>
      </c>
      <c r="D21" s="17">
        <v>2</v>
      </c>
      <c r="E21" s="16"/>
      <c r="F21" s="16"/>
    </row>
    <row r="22" spans="1:24" x14ac:dyDescent="0.3">
      <c r="A22" s="14"/>
      <c r="B22" s="15" t="s">
        <v>39</v>
      </c>
      <c r="C22" s="16" t="s">
        <v>40</v>
      </c>
      <c r="D22" s="17">
        <v>1</v>
      </c>
      <c r="E22" s="16"/>
      <c r="F22" s="16"/>
    </row>
    <row r="23" spans="1:24" s="35" customFormat="1" ht="32.25" customHeight="1" x14ac:dyDescent="0.35">
      <c r="A23" s="31"/>
      <c r="B23" s="32" t="s">
        <v>41</v>
      </c>
      <c r="C23" s="32" t="s">
        <v>42</v>
      </c>
      <c r="D23" s="33">
        <v>2</v>
      </c>
      <c r="E23" s="34" t="s">
        <v>43</v>
      </c>
      <c r="F23" s="34" t="s">
        <v>44</v>
      </c>
      <c r="O23" s="36"/>
      <c r="P23" s="36"/>
      <c r="Q23" s="36"/>
      <c r="R23" s="36"/>
      <c r="S23" s="36"/>
      <c r="T23" s="36"/>
      <c r="U23" s="36"/>
      <c r="V23" s="37"/>
      <c r="W23" s="37"/>
      <c r="X23" s="36"/>
    </row>
    <row r="24" spans="1:24" x14ac:dyDescent="0.3">
      <c r="A24" s="14"/>
      <c r="B24" s="15" t="s">
        <v>45</v>
      </c>
      <c r="C24" s="16" t="s">
        <v>46</v>
      </c>
      <c r="D24" s="17">
        <v>1</v>
      </c>
      <c r="E24" s="16"/>
      <c r="F24" s="16"/>
    </row>
    <row r="25" spans="1:24" x14ac:dyDescent="0.3">
      <c r="A25" s="14"/>
      <c r="B25" s="15" t="s">
        <v>47</v>
      </c>
      <c r="C25" s="16" t="s">
        <v>48</v>
      </c>
      <c r="D25" s="17">
        <v>1</v>
      </c>
      <c r="E25" s="16"/>
      <c r="F25" s="16"/>
    </row>
    <row r="26" spans="1:24" x14ac:dyDescent="0.3">
      <c r="A26" s="14"/>
      <c r="B26" s="15" t="s">
        <v>49</v>
      </c>
      <c r="C26" s="16" t="s">
        <v>46</v>
      </c>
      <c r="D26" s="17">
        <v>1</v>
      </c>
      <c r="E26" s="16"/>
      <c r="F26" s="16"/>
    </row>
    <row r="27" spans="1:24" x14ac:dyDescent="0.3">
      <c r="A27" s="14"/>
      <c r="B27" s="15" t="s">
        <v>50</v>
      </c>
      <c r="C27" s="16" t="s">
        <v>51</v>
      </c>
      <c r="D27" s="17">
        <v>1</v>
      </c>
      <c r="E27" s="16"/>
      <c r="F27" s="16"/>
    </row>
    <row r="28" spans="1:24" x14ac:dyDescent="0.3">
      <c r="A28" s="14"/>
      <c r="B28" s="15" t="s">
        <v>52</v>
      </c>
      <c r="C28" s="16" t="s">
        <v>53</v>
      </c>
      <c r="D28" s="17">
        <v>6</v>
      </c>
      <c r="E28" s="16"/>
      <c r="F28" s="16"/>
    </row>
    <row r="29" spans="1:24" s="28" customFormat="1" x14ac:dyDescent="0.3">
      <c r="A29" s="24"/>
      <c r="B29" s="25"/>
      <c r="C29" s="26"/>
      <c r="D29" s="27"/>
      <c r="E29" s="26"/>
      <c r="F29" s="26"/>
      <c r="O29" s="29"/>
      <c r="P29" s="29"/>
      <c r="Q29" s="29"/>
      <c r="R29" s="29"/>
      <c r="S29" s="29"/>
      <c r="T29" s="29"/>
      <c r="U29" s="29"/>
      <c r="V29" s="30"/>
      <c r="W29" s="30"/>
      <c r="X29" s="29"/>
    </row>
    <row r="30" spans="1:24" ht="18" customHeight="1" x14ac:dyDescent="0.3">
      <c r="A30" s="24"/>
      <c r="B30" s="25"/>
      <c r="C30" s="26"/>
      <c r="D30" s="27"/>
      <c r="E30" s="26"/>
      <c r="F30" s="26"/>
    </row>
    <row r="31" spans="1:24" x14ac:dyDescent="0.3">
      <c r="A31" s="14">
        <v>-5</v>
      </c>
      <c r="B31" s="15" t="s">
        <v>54</v>
      </c>
      <c r="C31" s="16" t="s">
        <v>55</v>
      </c>
      <c r="D31" s="17"/>
      <c r="E31" s="16"/>
      <c r="F31" s="16"/>
    </row>
    <row r="32" spans="1:24" x14ac:dyDescent="0.3">
      <c r="A32" s="14"/>
      <c r="B32" s="15" t="s">
        <v>56</v>
      </c>
      <c r="C32" s="16" t="s">
        <v>57</v>
      </c>
      <c r="D32" s="17">
        <v>1</v>
      </c>
      <c r="E32" s="16"/>
      <c r="F32" s="16"/>
    </row>
    <row r="33" spans="1:24" x14ac:dyDescent="0.3">
      <c r="A33" s="14"/>
      <c r="B33" s="15" t="s">
        <v>58</v>
      </c>
      <c r="C33" s="16" t="s">
        <v>59</v>
      </c>
      <c r="D33" s="17">
        <v>1</v>
      </c>
      <c r="E33" s="23">
        <v>41349</v>
      </c>
      <c r="F33" s="23">
        <v>41365</v>
      </c>
    </row>
    <row r="34" spans="1:24" x14ac:dyDescent="0.3">
      <c r="A34" s="14"/>
      <c r="B34" s="15" t="s">
        <v>60</v>
      </c>
      <c r="C34" s="16" t="s">
        <v>61</v>
      </c>
      <c r="D34" s="17">
        <v>1</v>
      </c>
      <c r="E34" s="16" t="s">
        <v>31</v>
      </c>
      <c r="F34" s="17" t="s">
        <v>6</v>
      </c>
    </row>
    <row r="35" spans="1:24" s="28" customFormat="1" x14ac:dyDescent="0.3">
      <c r="A35" s="38"/>
      <c r="B35" s="39"/>
      <c r="C35" s="40"/>
      <c r="D35" s="41"/>
      <c r="E35" s="40"/>
      <c r="F35" s="41"/>
      <c r="O35" s="29"/>
      <c r="P35" s="29"/>
      <c r="Q35" s="29"/>
      <c r="R35" s="29"/>
      <c r="S35" s="29"/>
      <c r="T35" s="29"/>
      <c r="U35" s="29"/>
      <c r="V35" s="30"/>
      <c r="W35" s="30"/>
      <c r="X35" s="29"/>
    </row>
    <row r="36" spans="1:24" s="28" customFormat="1" x14ac:dyDescent="0.3">
      <c r="A36" s="38"/>
      <c r="B36" s="39"/>
      <c r="C36" s="40"/>
      <c r="D36" s="41"/>
      <c r="E36" s="40"/>
      <c r="F36" s="41"/>
      <c r="O36" s="29"/>
      <c r="P36" s="29"/>
      <c r="Q36" s="29"/>
      <c r="R36" s="29"/>
      <c r="S36" s="29"/>
      <c r="T36" s="29"/>
      <c r="U36" s="29"/>
      <c r="V36" s="30"/>
      <c r="W36" s="30"/>
      <c r="X36" s="29"/>
    </row>
    <row r="37" spans="1:24" s="28" customFormat="1" x14ac:dyDescent="0.3">
      <c r="A37" s="58" t="s">
        <v>104</v>
      </c>
      <c r="B37" s="16" t="s">
        <v>54</v>
      </c>
      <c r="C37" s="16" t="s">
        <v>62</v>
      </c>
      <c r="D37" s="16"/>
      <c r="E37" s="16">
        <v>41389</v>
      </c>
      <c r="F37" s="16">
        <v>41404</v>
      </c>
      <c r="O37" s="29"/>
      <c r="P37" s="29"/>
      <c r="Q37" s="29"/>
      <c r="R37" s="29"/>
      <c r="S37" s="29"/>
      <c r="T37" s="29"/>
      <c r="U37" s="29"/>
      <c r="V37" s="30"/>
      <c r="W37" s="30"/>
      <c r="X37" s="29"/>
    </row>
    <row r="38" spans="1:24" s="28" customFormat="1" x14ac:dyDescent="0.3">
      <c r="A38" s="16"/>
      <c r="B38" s="16" t="s">
        <v>64</v>
      </c>
      <c r="C38" s="16" t="s">
        <v>65</v>
      </c>
      <c r="D38" s="16">
        <v>8</v>
      </c>
      <c r="E38" s="16" t="s">
        <v>66</v>
      </c>
      <c r="F38" s="16" t="s">
        <v>63</v>
      </c>
      <c r="O38" s="29"/>
      <c r="P38" s="29"/>
      <c r="Q38" s="29"/>
      <c r="R38" s="29"/>
      <c r="S38" s="29"/>
      <c r="T38" s="29"/>
      <c r="U38" s="29"/>
      <c r="V38" s="30"/>
      <c r="W38" s="30"/>
      <c r="X38" s="29"/>
    </row>
    <row r="39" spans="1:24" s="28" customFormat="1" x14ac:dyDescent="0.3">
      <c r="A39" s="38"/>
      <c r="B39" s="39"/>
      <c r="C39" s="40"/>
      <c r="D39" s="41"/>
      <c r="E39" s="40"/>
      <c r="F39" s="41"/>
      <c r="O39" s="29"/>
      <c r="P39" s="29"/>
      <c r="Q39" s="29"/>
      <c r="R39" s="29"/>
      <c r="S39" s="29"/>
      <c r="T39" s="29"/>
      <c r="U39" s="29"/>
      <c r="V39" s="30"/>
      <c r="W39" s="30"/>
      <c r="X39" s="29"/>
    </row>
    <row r="40" spans="1:24" s="28" customFormat="1" x14ac:dyDescent="0.3">
      <c r="A40" s="38"/>
      <c r="B40" s="39"/>
      <c r="C40" s="40"/>
      <c r="D40" s="41"/>
      <c r="E40" s="40"/>
      <c r="F40" s="41"/>
      <c r="O40" s="29"/>
      <c r="P40" s="29"/>
      <c r="Q40" s="29"/>
      <c r="R40" s="29"/>
      <c r="S40" s="29"/>
      <c r="T40" s="29"/>
      <c r="U40" s="29"/>
      <c r="V40" s="30"/>
      <c r="W40" s="30"/>
      <c r="X40" s="29"/>
    </row>
    <row r="41" spans="1:24" s="28" customFormat="1" x14ac:dyDescent="0.3">
      <c r="A41" s="58" t="s">
        <v>105</v>
      </c>
      <c r="B41" s="16" t="s">
        <v>67</v>
      </c>
      <c r="C41" s="16" t="s">
        <v>68</v>
      </c>
      <c r="D41" s="16"/>
      <c r="E41" s="16">
        <v>41388</v>
      </c>
      <c r="F41" s="16"/>
      <c r="O41" s="29"/>
      <c r="P41" s="29"/>
      <c r="Q41" s="29"/>
      <c r="R41" s="29"/>
      <c r="S41" s="29"/>
      <c r="T41" s="29"/>
      <c r="U41" s="29"/>
      <c r="V41" s="30"/>
      <c r="W41" s="30"/>
      <c r="X41" s="29"/>
    </row>
    <row r="42" spans="1:24" s="28" customFormat="1" x14ac:dyDescent="0.3">
      <c r="A42" s="16"/>
      <c r="B42" s="16">
        <v>50000171</v>
      </c>
      <c r="C42" s="16" t="s">
        <v>69</v>
      </c>
      <c r="D42" s="16">
        <v>2</v>
      </c>
      <c r="E42" s="16" t="s">
        <v>70</v>
      </c>
      <c r="F42" s="16" t="s">
        <v>63</v>
      </c>
      <c r="O42" s="29"/>
      <c r="P42" s="29"/>
      <c r="Q42" s="29"/>
      <c r="R42" s="29"/>
      <c r="S42" s="29"/>
      <c r="T42" s="29"/>
      <c r="U42" s="29"/>
      <c r="V42" s="30"/>
      <c r="W42" s="30"/>
      <c r="X42" s="29"/>
    </row>
    <row r="43" spans="1:24" s="28" customFormat="1" x14ac:dyDescent="0.3">
      <c r="A43" s="38"/>
      <c r="B43" s="39"/>
      <c r="C43" s="40"/>
      <c r="D43" s="41"/>
      <c r="E43" s="40"/>
      <c r="F43" s="41"/>
      <c r="O43" s="29"/>
      <c r="P43" s="29"/>
      <c r="Q43" s="29"/>
      <c r="R43" s="29"/>
      <c r="S43" s="29"/>
      <c r="T43" s="29"/>
      <c r="U43" s="29"/>
      <c r="V43" s="30"/>
      <c r="W43" s="30"/>
      <c r="X43" s="29"/>
    </row>
    <row r="44" spans="1:24" s="28" customFormat="1" x14ac:dyDescent="0.3">
      <c r="A44" s="38"/>
      <c r="B44" s="39"/>
      <c r="C44" s="40"/>
      <c r="D44" s="41"/>
      <c r="E44" s="40"/>
      <c r="F44" s="41"/>
      <c r="O44" s="29"/>
      <c r="P44" s="29"/>
      <c r="Q44" s="29"/>
      <c r="R44" s="29"/>
      <c r="S44" s="29"/>
      <c r="T44" s="29"/>
      <c r="U44" s="29"/>
      <c r="V44" s="30"/>
      <c r="W44" s="30"/>
      <c r="X44" s="29"/>
    </row>
    <row r="45" spans="1:24" s="28" customFormat="1" x14ac:dyDescent="0.3">
      <c r="A45" s="43"/>
      <c r="B45" s="43" t="s">
        <v>71</v>
      </c>
      <c r="C45" s="43"/>
      <c r="D45" s="43"/>
      <c r="E45" s="43"/>
      <c r="F45" s="43"/>
      <c r="O45" s="29"/>
      <c r="P45" s="29"/>
      <c r="Q45" s="29"/>
      <c r="R45" s="29"/>
      <c r="S45" s="29"/>
      <c r="T45" s="29"/>
      <c r="U45" s="29"/>
      <c r="V45" s="30"/>
      <c r="W45" s="30"/>
      <c r="X45" s="29"/>
    </row>
    <row r="46" spans="1:24" s="28" customFormat="1" x14ac:dyDescent="0.3">
      <c r="A46" s="44">
        <v>-9</v>
      </c>
      <c r="B46" s="43" t="s">
        <v>72</v>
      </c>
      <c r="C46" s="45" t="s">
        <v>73</v>
      </c>
      <c r="D46" s="46">
        <v>4</v>
      </c>
      <c r="E46" s="45"/>
      <c r="F46" s="46"/>
      <c r="O46" s="29"/>
      <c r="P46" s="29"/>
      <c r="Q46" s="29"/>
      <c r="R46" s="29"/>
      <c r="S46" s="29"/>
      <c r="T46" s="29"/>
      <c r="U46" s="29"/>
      <c r="V46" s="30"/>
      <c r="W46" s="30"/>
      <c r="X46" s="29"/>
    </row>
    <row r="47" spans="1:24" s="28" customFormat="1" x14ac:dyDescent="0.3">
      <c r="A47" s="44"/>
      <c r="B47" s="43">
        <v>50000184</v>
      </c>
      <c r="C47" s="45" t="s">
        <v>74</v>
      </c>
      <c r="D47" s="46">
        <v>2</v>
      </c>
      <c r="E47" s="47">
        <v>41393</v>
      </c>
      <c r="F47" s="47">
        <v>41398</v>
      </c>
      <c r="O47" s="29"/>
      <c r="P47" s="29"/>
      <c r="Q47" s="29"/>
      <c r="R47" s="29"/>
      <c r="S47" s="29"/>
      <c r="T47" s="29"/>
      <c r="U47" s="29"/>
      <c r="V47" s="30"/>
      <c r="W47" s="30"/>
      <c r="X47" s="29"/>
    </row>
    <row r="48" spans="1:24" s="28" customFormat="1" x14ac:dyDescent="0.3">
      <c r="A48" s="44"/>
      <c r="B48" s="43">
        <v>50000185</v>
      </c>
      <c r="C48" s="45" t="s">
        <v>75</v>
      </c>
      <c r="D48" s="46">
        <v>2</v>
      </c>
      <c r="E48" s="46" t="s">
        <v>7</v>
      </c>
      <c r="F48" s="46" t="s">
        <v>63</v>
      </c>
      <c r="O48" s="29"/>
      <c r="P48" s="29"/>
      <c r="Q48" s="29"/>
      <c r="R48" s="29"/>
      <c r="S48" s="29"/>
      <c r="T48" s="29"/>
      <c r="U48" s="29"/>
      <c r="V48" s="30"/>
      <c r="W48" s="30"/>
      <c r="X48" s="29"/>
    </row>
    <row r="49" spans="1:24" s="28" customFormat="1" x14ac:dyDescent="0.3">
      <c r="A49" s="44"/>
      <c r="B49" s="43" t="s">
        <v>76</v>
      </c>
      <c r="C49" s="45" t="s">
        <v>75</v>
      </c>
      <c r="D49" s="46">
        <v>2</v>
      </c>
      <c r="E49" s="45"/>
      <c r="F49" s="46"/>
      <c r="O49" s="29"/>
      <c r="P49" s="29"/>
      <c r="Q49" s="29"/>
      <c r="R49" s="29"/>
      <c r="S49" s="29"/>
      <c r="T49" s="29"/>
      <c r="U49" s="29"/>
      <c r="V49" s="30"/>
      <c r="W49" s="30"/>
      <c r="X49" s="29"/>
    </row>
    <row r="50" spans="1:24" s="28" customFormat="1" x14ac:dyDescent="0.3">
      <c r="A50" s="44"/>
      <c r="B50" s="43" t="s">
        <v>77</v>
      </c>
      <c r="C50" s="45" t="s">
        <v>53</v>
      </c>
      <c r="D50" s="46">
        <v>4</v>
      </c>
      <c r="E50" s="45"/>
      <c r="F50" s="46"/>
      <c r="O50" s="29"/>
      <c r="P50" s="29"/>
      <c r="Q50" s="29"/>
      <c r="R50" s="29"/>
      <c r="S50" s="29"/>
      <c r="T50" s="29"/>
      <c r="U50" s="29"/>
      <c r="V50" s="30"/>
      <c r="W50" s="30"/>
      <c r="X50" s="29"/>
    </row>
    <row r="51" spans="1:24" s="28" customFormat="1" x14ac:dyDescent="0.3">
      <c r="A51" s="44"/>
      <c r="B51" s="43"/>
      <c r="C51" s="45" t="s">
        <v>78</v>
      </c>
      <c r="D51" s="46">
        <v>1</v>
      </c>
      <c r="E51" s="45"/>
      <c r="F51" s="46"/>
      <c r="O51" s="29"/>
      <c r="P51" s="29"/>
      <c r="Q51" s="29"/>
      <c r="R51" s="29"/>
      <c r="S51" s="29"/>
      <c r="T51" s="29"/>
      <c r="U51" s="29"/>
      <c r="V51" s="30"/>
      <c r="W51" s="30"/>
      <c r="X51" s="29"/>
    </row>
    <row r="52" spans="1:24" s="28" customFormat="1" x14ac:dyDescent="0.3">
      <c r="A52" s="38"/>
      <c r="B52" s="39"/>
      <c r="C52" s="40"/>
      <c r="D52" s="41"/>
      <c r="E52" s="40"/>
      <c r="F52" s="41"/>
      <c r="O52" s="29"/>
      <c r="P52" s="29"/>
      <c r="Q52" s="29"/>
      <c r="R52" s="29"/>
      <c r="S52" s="29"/>
      <c r="T52" s="29"/>
      <c r="U52" s="29"/>
      <c r="V52" s="30"/>
      <c r="W52" s="30"/>
      <c r="X52" s="29"/>
    </row>
    <row r="53" spans="1:24" s="28" customFormat="1" x14ac:dyDescent="0.3">
      <c r="A53" s="38"/>
      <c r="B53" s="39"/>
      <c r="C53" s="40"/>
      <c r="D53" s="41"/>
      <c r="E53" s="40"/>
      <c r="F53" s="41"/>
      <c r="O53" s="29"/>
      <c r="P53" s="29"/>
      <c r="Q53" s="29"/>
      <c r="R53" s="29"/>
      <c r="S53" s="29"/>
      <c r="T53" s="29"/>
      <c r="U53" s="29"/>
      <c r="V53" s="30"/>
      <c r="W53" s="30"/>
      <c r="X53" s="29"/>
    </row>
    <row r="54" spans="1:24" s="28" customFormat="1" x14ac:dyDescent="0.3">
      <c r="A54" s="38">
        <v>-10</v>
      </c>
      <c r="B54" s="39" t="s">
        <v>54</v>
      </c>
      <c r="C54" s="40" t="s">
        <v>26</v>
      </c>
      <c r="D54" s="41"/>
      <c r="E54" s="40"/>
      <c r="F54" s="41"/>
      <c r="O54" s="29"/>
      <c r="P54" s="29"/>
      <c r="Q54" s="29"/>
      <c r="R54" s="29"/>
      <c r="S54" s="29"/>
      <c r="T54" s="29"/>
      <c r="U54" s="29"/>
      <c r="V54" s="30"/>
      <c r="W54" s="30"/>
      <c r="X54" s="29"/>
    </row>
    <row r="55" spans="1:24" s="28" customFormat="1" x14ac:dyDescent="0.3">
      <c r="A55" s="38"/>
      <c r="B55" s="39" t="s">
        <v>79</v>
      </c>
      <c r="C55" s="40" t="s">
        <v>80</v>
      </c>
      <c r="D55" s="41">
        <v>1</v>
      </c>
      <c r="E55" s="40"/>
      <c r="F55" s="41"/>
      <c r="O55" s="29"/>
      <c r="P55" s="29"/>
      <c r="Q55" s="29"/>
      <c r="R55" s="29"/>
      <c r="S55" s="29"/>
      <c r="T55" s="29"/>
      <c r="U55" s="29"/>
      <c r="V55" s="30"/>
      <c r="W55" s="30"/>
      <c r="X55" s="29"/>
    </row>
    <row r="56" spans="1:24" s="28" customFormat="1" x14ac:dyDescent="0.3">
      <c r="A56" s="38"/>
      <c r="B56" s="39" t="s">
        <v>81</v>
      </c>
      <c r="C56" s="40" t="s">
        <v>28</v>
      </c>
      <c r="D56" s="41">
        <v>2</v>
      </c>
      <c r="E56" s="40"/>
      <c r="F56" s="41"/>
      <c r="O56" s="29"/>
      <c r="P56" s="29"/>
      <c r="Q56" s="29"/>
      <c r="R56" s="29"/>
      <c r="S56" s="29"/>
      <c r="T56" s="29"/>
      <c r="U56" s="29"/>
      <c r="V56" s="30"/>
      <c r="W56" s="30"/>
      <c r="X56" s="29"/>
    </row>
    <row r="57" spans="1:24" s="28" customFormat="1" x14ac:dyDescent="0.3">
      <c r="A57" s="38"/>
      <c r="B57" s="39" t="s">
        <v>82</v>
      </c>
      <c r="C57" s="40" t="s">
        <v>83</v>
      </c>
      <c r="D57" s="41">
        <v>1</v>
      </c>
      <c r="E57" s="42">
        <v>41401</v>
      </c>
      <c r="F57" s="48">
        <v>41418</v>
      </c>
      <c r="O57" s="29"/>
      <c r="P57" s="29"/>
      <c r="Q57" s="29"/>
      <c r="R57" s="29"/>
      <c r="S57" s="29"/>
      <c r="T57" s="29"/>
      <c r="U57" s="29"/>
      <c r="V57" s="30"/>
      <c r="W57" s="30"/>
      <c r="X57" s="29"/>
    </row>
    <row r="58" spans="1:24" s="28" customFormat="1" x14ac:dyDescent="0.3">
      <c r="A58" s="38"/>
      <c r="B58" s="39" t="s">
        <v>84</v>
      </c>
      <c r="C58" s="40" t="s">
        <v>85</v>
      </c>
      <c r="D58" s="41">
        <v>1</v>
      </c>
      <c r="E58" s="41" t="s">
        <v>31</v>
      </c>
      <c r="F58" s="41" t="s">
        <v>86</v>
      </c>
      <c r="O58" s="29"/>
      <c r="P58" s="29"/>
      <c r="Q58" s="29"/>
      <c r="R58" s="29"/>
      <c r="S58" s="29"/>
      <c r="T58" s="29"/>
      <c r="U58" s="29"/>
      <c r="V58" s="30"/>
      <c r="W58" s="30"/>
      <c r="X58" s="29"/>
    </row>
    <row r="59" spans="1:24" s="28" customFormat="1" x14ac:dyDescent="0.3">
      <c r="A59" s="38"/>
      <c r="B59" s="39" t="s">
        <v>87</v>
      </c>
      <c r="C59" s="40" t="s">
        <v>88</v>
      </c>
      <c r="D59" s="41">
        <v>1</v>
      </c>
      <c r="E59" s="40"/>
      <c r="F59" s="41"/>
      <c r="O59" s="29"/>
      <c r="P59" s="29"/>
      <c r="Q59" s="29"/>
      <c r="R59" s="29"/>
      <c r="S59" s="29"/>
      <c r="T59" s="29"/>
      <c r="U59" s="29"/>
      <c r="V59" s="30"/>
      <c r="W59" s="30"/>
      <c r="X59" s="29"/>
    </row>
    <row r="60" spans="1:24" s="28" customFormat="1" x14ac:dyDescent="0.3">
      <c r="A60" s="38"/>
      <c r="B60" s="39" t="s">
        <v>89</v>
      </c>
      <c r="C60" s="40" t="s">
        <v>90</v>
      </c>
      <c r="D60" s="41">
        <v>1</v>
      </c>
      <c r="E60" s="40"/>
      <c r="F60" s="41"/>
      <c r="O60" s="29"/>
      <c r="P60" s="29"/>
      <c r="Q60" s="29"/>
      <c r="R60" s="29"/>
      <c r="S60" s="29"/>
      <c r="T60" s="29"/>
      <c r="U60" s="29"/>
      <c r="V60" s="30"/>
      <c r="W60" s="30"/>
      <c r="X60" s="29"/>
    </row>
    <row r="61" spans="1:24" s="28" customFormat="1" x14ac:dyDescent="0.3">
      <c r="A61" s="38"/>
      <c r="B61" s="39"/>
      <c r="C61" s="49" t="s">
        <v>91</v>
      </c>
      <c r="D61" s="50">
        <v>1</v>
      </c>
      <c r="E61" s="40"/>
      <c r="F61" s="41"/>
      <c r="O61" s="29"/>
      <c r="P61" s="29"/>
      <c r="Q61" s="29"/>
      <c r="R61" s="29"/>
      <c r="S61" s="29"/>
      <c r="T61" s="29"/>
      <c r="U61" s="29"/>
      <c r="V61" s="30"/>
      <c r="W61" s="30"/>
      <c r="X61" s="29"/>
    </row>
    <row r="62" spans="1:24" s="28" customFormat="1" x14ac:dyDescent="0.3">
      <c r="A62" s="38"/>
      <c r="B62" s="39"/>
      <c r="C62" s="40"/>
      <c r="D62" s="41"/>
      <c r="E62" s="40"/>
      <c r="F62" s="41"/>
      <c r="O62" s="29"/>
      <c r="P62" s="29"/>
      <c r="Q62" s="29"/>
      <c r="R62" s="29"/>
      <c r="S62" s="29"/>
      <c r="T62" s="29"/>
      <c r="U62" s="29"/>
      <c r="V62" s="30"/>
      <c r="W62" s="30"/>
      <c r="X62" s="29"/>
    </row>
    <row r="63" spans="1:24" s="28" customFormat="1" x14ac:dyDescent="0.3">
      <c r="A63" s="38"/>
      <c r="B63" s="39"/>
      <c r="C63" s="40"/>
      <c r="D63" s="41"/>
      <c r="E63" s="40"/>
      <c r="F63" s="41"/>
      <c r="O63" s="29"/>
      <c r="P63" s="29"/>
      <c r="Q63" s="29"/>
      <c r="R63" s="29"/>
      <c r="S63" s="29"/>
      <c r="T63" s="29"/>
      <c r="U63" s="29"/>
      <c r="V63" s="30"/>
      <c r="W63" s="30"/>
      <c r="X63" s="29"/>
    </row>
    <row r="64" spans="1:24" s="28" customFormat="1" x14ac:dyDescent="0.3">
      <c r="A64" s="38">
        <v>-11</v>
      </c>
      <c r="B64" s="39" t="s">
        <v>67</v>
      </c>
      <c r="C64" s="40" t="s">
        <v>55</v>
      </c>
      <c r="D64" s="41"/>
      <c r="E64" s="40"/>
      <c r="F64" s="41"/>
      <c r="O64" s="29"/>
      <c r="P64" s="29"/>
      <c r="Q64" s="29"/>
      <c r="R64" s="29"/>
      <c r="S64" s="29"/>
      <c r="T64" s="29"/>
      <c r="U64" s="29"/>
      <c r="V64" s="30"/>
      <c r="W64" s="30"/>
      <c r="X64" s="29"/>
    </row>
    <row r="65" spans="1:24" s="28" customFormat="1" x14ac:dyDescent="0.3">
      <c r="A65" s="38"/>
      <c r="B65" s="39" t="s">
        <v>92</v>
      </c>
      <c r="C65" s="40" t="s">
        <v>93</v>
      </c>
      <c r="D65" s="41">
        <v>1</v>
      </c>
      <c r="E65" s="40"/>
      <c r="F65" s="41"/>
      <c r="O65" s="29"/>
      <c r="P65" s="29"/>
      <c r="Q65" s="29"/>
      <c r="R65" s="29"/>
      <c r="S65" s="29"/>
      <c r="T65" s="29"/>
      <c r="U65" s="29"/>
      <c r="V65" s="30"/>
      <c r="W65" s="30"/>
      <c r="X65" s="29"/>
    </row>
    <row r="66" spans="1:24" s="28" customFormat="1" x14ac:dyDescent="0.3">
      <c r="A66" s="38"/>
      <c r="B66" s="39" t="s">
        <v>94</v>
      </c>
      <c r="C66" s="40" t="s">
        <v>95</v>
      </c>
      <c r="D66" s="41">
        <v>1</v>
      </c>
      <c r="E66" s="40"/>
      <c r="F66" s="41"/>
      <c r="O66" s="29"/>
      <c r="P66" s="29"/>
      <c r="Q66" s="29"/>
      <c r="R66" s="29"/>
      <c r="S66" s="29"/>
      <c r="T66" s="29"/>
      <c r="U66" s="29"/>
      <c r="V66" s="30"/>
      <c r="W66" s="30"/>
      <c r="X66" s="29"/>
    </row>
    <row r="67" spans="1:24" s="28" customFormat="1" x14ac:dyDescent="0.3">
      <c r="A67" s="38"/>
      <c r="B67" s="39" t="s">
        <v>96</v>
      </c>
      <c r="C67" s="40" t="s">
        <v>97</v>
      </c>
      <c r="D67" s="41">
        <v>1</v>
      </c>
      <c r="E67" s="42">
        <v>41401</v>
      </c>
      <c r="F67" s="48">
        <v>41418</v>
      </c>
      <c r="O67" s="29"/>
      <c r="P67" s="29"/>
      <c r="Q67" s="29"/>
      <c r="R67" s="29"/>
      <c r="S67" s="29"/>
      <c r="T67" s="29"/>
      <c r="U67" s="29"/>
      <c r="V67" s="30"/>
      <c r="W67" s="30"/>
      <c r="X67" s="29"/>
    </row>
    <row r="68" spans="1:24" s="28" customFormat="1" x14ac:dyDescent="0.3">
      <c r="A68" s="38"/>
      <c r="B68" s="39" t="s">
        <v>98</v>
      </c>
      <c r="C68" s="40" t="s">
        <v>99</v>
      </c>
      <c r="D68" s="41">
        <v>1</v>
      </c>
      <c r="E68" s="41" t="s">
        <v>31</v>
      </c>
      <c r="F68" s="41" t="s">
        <v>86</v>
      </c>
      <c r="O68" s="29"/>
      <c r="P68" s="29"/>
      <c r="Q68" s="29"/>
      <c r="R68" s="29"/>
      <c r="S68" s="29"/>
      <c r="T68" s="29"/>
      <c r="U68" s="29"/>
      <c r="V68" s="30"/>
      <c r="W68" s="30"/>
      <c r="X68" s="29"/>
    </row>
    <row r="69" spans="1:24" s="28" customFormat="1" x14ac:dyDescent="0.3">
      <c r="A69" s="38"/>
      <c r="B69" s="39" t="s">
        <v>100</v>
      </c>
      <c r="C69" s="40" t="s">
        <v>101</v>
      </c>
      <c r="D69" s="41">
        <v>1</v>
      </c>
      <c r="E69" s="40"/>
      <c r="F69" s="41"/>
      <c r="O69" s="29"/>
      <c r="P69" s="29"/>
      <c r="Q69" s="29"/>
      <c r="R69" s="29"/>
      <c r="S69" s="29"/>
      <c r="T69" s="29"/>
      <c r="U69" s="29"/>
      <c r="V69" s="30"/>
      <c r="W69" s="30"/>
      <c r="X69" s="29"/>
    </row>
    <row r="70" spans="1:24" s="28" customFormat="1" x14ac:dyDescent="0.3">
      <c r="A70" s="38"/>
      <c r="B70" s="39" t="s">
        <v>102</v>
      </c>
      <c r="C70" s="40" t="s">
        <v>103</v>
      </c>
      <c r="D70" s="41">
        <v>1</v>
      </c>
      <c r="E70" s="40"/>
      <c r="F70" s="41"/>
      <c r="O70" s="29"/>
      <c r="P70" s="29"/>
      <c r="Q70" s="29"/>
      <c r="R70" s="29"/>
      <c r="S70" s="29"/>
      <c r="T70" s="29"/>
      <c r="U70" s="29"/>
      <c r="V70" s="30"/>
      <c r="W70" s="30"/>
      <c r="X70" s="29"/>
    </row>
    <row r="71" spans="1:24" s="28" customFormat="1" x14ac:dyDescent="0.3">
      <c r="A71" s="38"/>
      <c r="B71" s="39"/>
      <c r="C71" s="40"/>
      <c r="D71" s="41"/>
      <c r="E71" s="40"/>
      <c r="F71" s="41"/>
      <c r="O71" s="29"/>
      <c r="P71" s="29"/>
      <c r="Q71" s="29"/>
      <c r="R71" s="29"/>
      <c r="S71" s="29"/>
      <c r="T71" s="29"/>
      <c r="U71" s="29"/>
      <c r="V71" s="30"/>
      <c r="W71" s="30"/>
      <c r="X71" s="29"/>
    </row>
    <row r="72" spans="1:24" s="28" customFormat="1" x14ac:dyDescent="0.3">
      <c r="A72" s="38"/>
      <c r="B72" s="39"/>
      <c r="C72" s="40"/>
      <c r="D72" s="41"/>
      <c r="E72" s="40"/>
      <c r="F72" s="41"/>
      <c r="O72" s="29"/>
      <c r="P72" s="29"/>
      <c r="Q72" s="29"/>
      <c r="R72" s="29"/>
      <c r="S72" s="29"/>
      <c r="T72" s="29"/>
      <c r="U72" s="29"/>
      <c r="V72" s="30"/>
      <c r="W72" s="30"/>
      <c r="X72" s="29"/>
    </row>
    <row r="73" spans="1:24" s="28" customFormat="1" x14ac:dyDescent="0.3">
      <c r="A73" s="38"/>
      <c r="B73" s="39"/>
      <c r="C73" s="40"/>
      <c r="D73" s="41"/>
      <c r="E73" s="40"/>
      <c r="F73" s="41"/>
      <c r="O73" s="29"/>
      <c r="P73" s="29"/>
      <c r="Q73" s="29"/>
      <c r="R73" s="29"/>
      <c r="S73" s="29"/>
      <c r="T73" s="29"/>
      <c r="U73" s="29"/>
      <c r="V73" s="30"/>
      <c r="W73" s="30"/>
      <c r="X73" s="29"/>
    </row>
    <row r="74" spans="1:24" s="28" customFormat="1" x14ac:dyDescent="0.3">
      <c r="A74" s="38"/>
      <c r="B74" s="39"/>
      <c r="C74" s="40"/>
      <c r="D74" s="41"/>
      <c r="E74" s="40"/>
      <c r="F74" s="41"/>
      <c r="O74" s="29"/>
      <c r="P74" s="29"/>
      <c r="Q74" s="29"/>
      <c r="R74" s="29"/>
      <c r="S74" s="29"/>
      <c r="T74" s="29"/>
      <c r="U74" s="29"/>
      <c r="V74" s="30"/>
      <c r="W74" s="30"/>
      <c r="X74" s="29"/>
    </row>
    <row r="75" spans="1:24" s="28" customFormat="1" x14ac:dyDescent="0.3">
      <c r="A75" s="51"/>
      <c r="B75" s="52"/>
      <c r="C75" s="53"/>
      <c r="D75" s="54"/>
      <c r="E75" s="53"/>
      <c r="F75" s="53"/>
      <c r="O75" s="29"/>
      <c r="P75" s="29"/>
      <c r="Q75" s="29"/>
      <c r="R75" s="29"/>
      <c r="S75" s="29"/>
      <c r="T75" s="29"/>
      <c r="U75" s="29"/>
      <c r="V75" s="30"/>
      <c r="W75" s="30"/>
      <c r="X75" s="29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48"/>
  <sheetViews>
    <sheetView topLeftCell="R1" zoomScale="95" zoomScaleNormal="95" workbookViewId="0">
      <pane ySplit="1" topLeftCell="A106" activePane="bottomLeft" state="frozen"/>
      <selection pane="bottomLeft" activeCell="T112" sqref="T112"/>
    </sheetView>
  </sheetViews>
  <sheetFormatPr defaultColWidth="9.1796875" defaultRowHeight="14.5" x14ac:dyDescent="0.35"/>
  <cols>
    <col min="1" max="1" width="20" style="62" customWidth="1"/>
    <col min="2" max="2" width="15.81640625" style="62" customWidth="1"/>
    <col min="3" max="3" width="20.1796875" style="62" customWidth="1"/>
    <col min="4" max="4" width="19.81640625" style="62" customWidth="1"/>
    <col min="5" max="5" width="25.54296875" style="62" customWidth="1"/>
    <col min="6" max="6" width="20.81640625" style="62" customWidth="1"/>
    <col min="7" max="7" width="22.453125" style="62" customWidth="1"/>
    <col min="8" max="8" width="39.54296875" style="62" customWidth="1"/>
    <col min="9" max="9" width="21.81640625" style="62" customWidth="1"/>
    <col min="10" max="10" width="18.26953125" style="62" customWidth="1"/>
    <col min="11" max="11" width="17.54296875" style="62" customWidth="1"/>
    <col min="12" max="12" width="13.26953125" style="62" customWidth="1"/>
    <col min="13" max="13" width="15.54296875" style="62" customWidth="1"/>
    <col min="14" max="14" width="15.1796875" style="62" customWidth="1"/>
    <col min="15" max="15" width="15.7265625" style="62" customWidth="1"/>
    <col min="16" max="16" width="19.26953125" style="62" bestFit="1" customWidth="1"/>
    <col min="17" max="17" width="22.7265625" style="62" customWidth="1"/>
    <col min="18" max="18" width="21.1796875" style="62" customWidth="1"/>
    <col min="19" max="20" width="18.453125" style="63" customWidth="1"/>
    <col min="21" max="21" width="18.81640625" style="63" customWidth="1"/>
    <col min="22" max="22" width="17.453125" style="63" customWidth="1"/>
    <col min="23" max="23" width="15.453125" style="63" customWidth="1"/>
    <col min="24" max="29" width="17.54296875" style="62" customWidth="1"/>
    <col min="30" max="30" width="19.26953125" style="62" customWidth="1"/>
    <col min="31" max="31" width="20.7265625" style="62" customWidth="1"/>
    <col min="32" max="32" width="19.1796875" style="62" customWidth="1"/>
    <col min="33" max="33" width="20.26953125" style="62" customWidth="1"/>
    <col min="34" max="34" width="17.453125" style="62" customWidth="1"/>
    <col min="35" max="35" width="20.7265625" style="62" customWidth="1"/>
    <col min="36" max="36" width="14.26953125" style="62" customWidth="1"/>
    <col min="37" max="37" width="17.81640625" style="62" customWidth="1"/>
    <col min="38" max="38" width="17.26953125" style="62" customWidth="1"/>
    <col min="39" max="39" width="18.453125" style="62" customWidth="1"/>
    <col min="40" max="40" width="19.81640625" style="62" customWidth="1"/>
    <col min="41" max="41" width="18" style="62" customWidth="1"/>
    <col min="42" max="42" width="20.1796875" style="62" customWidth="1"/>
    <col min="43" max="43" width="26" style="62" customWidth="1"/>
    <col min="44" max="44" width="17.54296875" style="62" customWidth="1"/>
    <col min="45" max="45" width="23.26953125" style="61" customWidth="1"/>
    <col min="46" max="69" width="9.1796875" style="59"/>
    <col min="70" max="74" width="9.1796875" style="60"/>
    <col min="75" max="16384" width="9.1796875" style="61"/>
  </cols>
  <sheetData>
    <row r="1" spans="1:83" s="102" customFormat="1" ht="72.75" customHeight="1" x14ac:dyDescent="0.45">
      <c r="A1" s="89" t="s">
        <v>129</v>
      </c>
      <c r="B1" s="89" t="s">
        <v>130</v>
      </c>
      <c r="C1" s="89" t="s">
        <v>131</v>
      </c>
      <c r="D1" s="89" t="s">
        <v>132</v>
      </c>
      <c r="E1" s="90" t="s">
        <v>150</v>
      </c>
      <c r="F1" s="91" t="s">
        <v>133</v>
      </c>
      <c r="G1" s="91" t="s">
        <v>134</v>
      </c>
      <c r="H1" s="91" t="s">
        <v>135</v>
      </c>
      <c r="I1" s="91" t="s">
        <v>136</v>
      </c>
      <c r="J1" s="91" t="s">
        <v>137</v>
      </c>
      <c r="K1" s="91" t="s">
        <v>138</v>
      </c>
      <c r="L1" s="91" t="s">
        <v>139</v>
      </c>
      <c r="M1" s="91" t="s">
        <v>140</v>
      </c>
      <c r="N1" s="90" t="s">
        <v>141</v>
      </c>
      <c r="O1" s="90" t="s">
        <v>142</v>
      </c>
      <c r="P1" s="92" t="s">
        <v>143</v>
      </c>
      <c r="Q1" s="90" t="s">
        <v>144</v>
      </c>
      <c r="R1" s="90" t="s">
        <v>145</v>
      </c>
      <c r="S1" s="90" t="s">
        <v>146</v>
      </c>
      <c r="T1" s="92" t="s">
        <v>147</v>
      </c>
      <c r="U1" s="92" t="s">
        <v>148</v>
      </c>
      <c r="V1" s="92" t="s">
        <v>149</v>
      </c>
      <c r="W1" s="92" t="s">
        <v>107</v>
      </c>
      <c r="X1" s="93" t="s">
        <v>113</v>
      </c>
      <c r="Y1" s="93" t="s">
        <v>114</v>
      </c>
      <c r="Z1" s="93" t="s">
        <v>115</v>
      </c>
      <c r="AA1" s="93" t="s">
        <v>109</v>
      </c>
      <c r="AB1" s="93" t="s">
        <v>117</v>
      </c>
      <c r="AC1" s="93" t="s">
        <v>118</v>
      </c>
      <c r="AD1" s="93" t="s">
        <v>116</v>
      </c>
      <c r="AE1" s="93" t="s">
        <v>125</v>
      </c>
      <c r="AF1" s="94" t="s">
        <v>121</v>
      </c>
      <c r="AG1" s="94" t="s">
        <v>122</v>
      </c>
      <c r="AH1" s="94" t="s">
        <v>108</v>
      </c>
      <c r="AI1" s="94" t="s">
        <v>123</v>
      </c>
      <c r="AJ1" s="95" t="s">
        <v>2</v>
      </c>
      <c r="AK1" s="96" t="s">
        <v>3</v>
      </c>
      <c r="AL1" s="96" t="s">
        <v>124</v>
      </c>
      <c r="AM1" s="96" t="s">
        <v>126</v>
      </c>
      <c r="AN1" s="97" t="s">
        <v>119</v>
      </c>
      <c r="AO1" s="97" t="s">
        <v>120</v>
      </c>
      <c r="AP1" s="93" t="s">
        <v>127</v>
      </c>
      <c r="AQ1" s="97" t="s">
        <v>110</v>
      </c>
      <c r="AR1" s="98" t="s">
        <v>128</v>
      </c>
      <c r="AS1" s="99" t="s">
        <v>106</v>
      </c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</row>
    <row r="2" spans="1:83" s="79" customFormat="1" ht="20.25" customHeight="1" x14ac:dyDescent="0.35">
      <c r="A2" s="64"/>
      <c r="B2" s="64" t="s">
        <v>151</v>
      </c>
      <c r="C2" s="282" t="s">
        <v>162</v>
      </c>
      <c r="D2" s="65" t="s">
        <v>152</v>
      </c>
      <c r="E2" s="64" t="s">
        <v>155</v>
      </c>
      <c r="F2" s="66" t="s">
        <v>157</v>
      </c>
      <c r="G2" s="65">
        <v>20100001</v>
      </c>
      <c r="H2" s="64" t="s">
        <v>158</v>
      </c>
      <c r="I2" s="65" t="s">
        <v>159</v>
      </c>
      <c r="J2" s="64" t="s">
        <v>164</v>
      </c>
      <c r="K2" s="64" t="s">
        <v>166</v>
      </c>
      <c r="L2" s="64">
        <v>1</v>
      </c>
      <c r="M2" s="67" t="s">
        <v>167</v>
      </c>
      <c r="N2" s="81" t="s">
        <v>168</v>
      </c>
      <c r="O2" s="81">
        <v>1</v>
      </c>
      <c r="P2" s="81" t="s">
        <v>111</v>
      </c>
      <c r="Q2" s="68">
        <v>44195</v>
      </c>
      <c r="R2" s="84">
        <v>100163773950</v>
      </c>
      <c r="S2" s="85">
        <v>44182</v>
      </c>
      <c r="T2" s="65">
        <v>14200</v>
      </c>
      <c r="U2" s="65">
        <v>14200</v>
      </c>
      <c r="V2" s="65">
        <f>U2+1340/2</f>
        <v>14870</v>
      </c>
      <c r="W2" s="65">
        <v>1320.55</v>
      </c>
      <c r="X2" s="70" t="s">
        <v>112</v>
      </c>
      <c r="Y2" s="66">
        <f>(X2+(V2*W2))*5%</f>
        <v>981828.92500000005</v>
      </c>
      <c r="Z2" s="71">
        <f>V2*2%*W2</f>
        <v>392731.57</v>
      </c>
      <c r="AA2" s="66">
        <f>30000/3</f>
        <v>10000</v>
      </c>
      <c r="AB2" s="74">
        <f>20000/3</f>
        <v>6666.666666666667</v>
      </c>
      <c r="AC2" s="72" t="s">
        <v>112</v>
      </c>
      <c r="AD2" s="71">
        <f>X2+Y2+Z2+AA2+AB2+AC2</f>
        <v>1391227.1616666669</v>
      </c>
      <c r="AE2" s="73">
        <f>(AD2/W2)+((AD2*0.1%)/W2)</f>
        <v>1054.5745248785231</v>
      </c>
      <c r="AF2" s="74">
        <f>(109000/2)/W2</f>
        <v>41.270682670099582</v>
      </c>
      <c r="AG2" s="74">
        <f>(20000/3)/W2</f>
        <v>5.0484015498592765</v>
      </c>
      <c r="AH2" s="71">
        <f>V2*0.125%</f>
        <v>18.587500000000002</v>
      </c>
      <c r="AI2" s="74">
        <f>(V2*10)/W2</f>
        <v>112.60459656961115</v>
      </c>
      <c r="AJ2" s="74">
        <f>1340/3</f>
        <v>446.66666666666669</v>
      </c>
      <c r="AK2" s="71">
        <f>(U2*110%*0.19%)+(10/3)</f>
        <v>33.01133333333334</v>
      </c>
      <c r="AL2" s="70" t="s">
        <v>112</v>
      </c>
      <c r="AM2" s="74">
        <f>(686850/W2)/3</f>
        <v>173.37473022604217</v>
      </c>
      <c r="AN2" s="72" t="s">
        <v>112</v>
      </c>
      <c r="AO2" s="72" t="s">
        <v>112</v>
      </c>
      <c r="AP2" s="75">
        <f>SUM(AF2:AO2)</f>
        <v>830.56391101561223</v>
      </c>
      <c r="AQ2" s="82">
        <f>(150+50)/3</f>
        <v>66.666666666666671</v>
      </c>
      <c r="AR2" s="76">
        <f>AE2+AP2+AQ2</f>
        <v>1951.8051025608022</v>
      </c>
      <c r="AS2" s="65"/>
      <c r="AT2" s="77"/>
      <c r="AU2" s="77"/>
      <c r="AV2" s="77"/>
      <c r="AW2" s="77"/>
      <c r="AX2" s="77"/>
      <c r="AY2" s="77"/>
      <c r="AZ2" s="77"/>
      <c r="BA2" s="77"/>
      <c r="BB2" s="77"/>
      <c r="BC2" s="77"/>
      <c r="BD2" s="77"/>
      <c r="BE2" s="77"/>
      <c r="BF2" s="77"/>
      <c r="BG2" s="77"/>
      <c r="BH2" s="77"/>
      <c r="BI2" s="77"/>
      <c r="BJ2" s="77"/>
      <c r="BK2" s="77"/>
      <c r="BL2" s="77"/>
      <c r="BM2" s="77"/>
      <c r="BN2" s="77"/>
      <c r="BO2" s="77"/>
      <c r="BP2" s="77"/>
      <c r="BQ2" s="77"/>
      <c r="BR2" s="78"/>
      <c r="BS2" s="78"/>
      <c r="BT2" s="78"/>
      <c r="BU2" s="78"/>
      <c r="BV2" s="78"/>
      <c r="BW2" s="78"/>
      <c r="BX2" s="78"/>
      <c r="BY2" s="78"/>
      <c r="BZ2" s="78"/>
      <c r="CA2" s="78"/>
      <c r="CB2" s="78"/>
      <c r="CC2" s="78"/>
      <c r="CD2" s="78"/>
      <c r="CE2" s="78"/>
    </row>
    <row r="3" spans="1:83" s="79" customFormat="1" ht="20.25" customHeight="1" x14ac:dyDescent="0.35">
      <c r="A3" s="64"/>
      <c r="B3" s="64" t="s">
        <v>151</v>
      </c>
      <c r="C3" s="283"/>
      <c r="D3" s="65" t="s">
        <v>153</v>
      </c>
      <c r="E3" s="64" t="s">
        <v>155</v>
      </c>
      <c r="F3" s="66" t="s">
        <v>156</v>
      </c>
      <c r="G3" s="65">
        <v>20100002</v>
      </c>
      <c r="H3" s="64" t="s">
        <v>158</v>
      </c>
      <c r="I3" s="65" t="s">
        <v>160</v>
      </c>
      <c r="J3" s="64" t="s">
        <v>164</v>
      </c>
      <c r="K3" s="64" t="s">
        <v>166</v>
      </c>
      <c r="L3" s="64">
        <v>1</v>
      </c>
      <c r="M3" s="67" t="s">
        <v>167</v>
      </c>
      <c r="N3" s="64"/>
      <c r="O3" s="64"/>
      <c r="P3" s="64"/>
      <c r="R3" s="68"/>
      <c r="S3" s="68"/>
      <c r="T3" s="65">
        <v>12154</v>
      </c>
      <c r="U3" s="65">
        <v>12154</v>
      </c>
      <c r="V3" s="65">
        <f>U3+1340/2</f>
        <v>12824</v>
      </c>
      <c r="W3" s="65">
        <v>1320.55</v>
      </c>
      <c r="X3" s="70" t="s">
        <v>112</v>
      </c>
      <c r="Y3" s="66">
        <f t="shared" ref="Y3:Y11" si="0">(X3+(V3*W3))*5%</f>
        <v>846736.66</v>
      </c>
      <c r="Z3" s="71">
        <f t="shared" ref="Z3:Z66" si="1">V3*2%*W3</f>
        <v>338694.66399999999</v>
      </c>
      <c r="AA3" s="66">
        <f t="shared" ref="AA3:AA4" si="2">30000/3</f>
        <v>10000</v>
      </c>
      <c r="AB3" s="74">
        <f t="shared" ref="AB3:AB4" si="3">20000/3</f>
        <v>6666.666666666667</v>
      </c>
      <c r="AC3" s="72" t="s">
        <v>112</v>
      </c>
      <c r="AD3" s="71">
        <f t="shared" ref="AD3:AD66" si="4">X3+Y3+Z3+AA3+AB3+AC3</f>
        <v>1202097.9906666668</v>
      </c>
      <c r="AE3" s="73">
        <f>(AD3/W3)+((AD3*0.1%)/W3)</f>
        <v>911.21130487852292</v>
      </c>
      <c r="AF3" s="74">
        <f>(109000/2)/W3</f>
        <v>41.270682670099582</v>
      </c>
      <c r="AG3" s="74">
        <f t="shared" ref="AG3:AG4" si="5">(20000/3)/W3</f>
        <v>5.0484015498592765</v>
      </c>
      <c r="AH3" s="71">
        <f t="shared" ref="AH3:AH4" si="6">V3*0.125%</f>
        <v>16.03</v>
      </c>
      <c r="AI3" s="74">
        <f>(V3*10)/W3</f>
        <v>97.111052213093032</v>
      </c>
      <c r="AJ3" s="74">
        <f t="shared" ref="AJ3:AJ4" si="7">1340/3</f>
        <v>446.66666666666669</v>
      </c>
      <c r="AK3" s="71">
        <f t="shared" ref="AK3:AK4" si="8">(U3*110%*0.19%)+(10/3)</f>
        <v>28.735193333333335</v>
      </c>
      <c r="AL3" s="70" t="s">
        <v>112</v>
      </c>
      <c r="AM3" s="74">
        <f>(686850/W3)/3</f>
        <v>173.37473022604217</v>
      </c>
      <c r="AN3" s="72" t="s">
        <v>112</v>
      </c>
      <c r="AO3" s="72" t="s">
        <v>112</v>
      </c>
      <c r="AP3" s="75">
        <f t="shared" ref="AP3:AP4" si="9">SUM(AF3:AO3)</f>
        <v>808.23672665909407</v>
      </c>
      <c r="AQ3" s="82">
        <f t="shared" ref="AQ3:AQ4" si="10">(150+50)/3</f>
        <v>66.666666666666671</v>
      </c>
      <c r="AR3" s="76">
        <f t="shared" ref="AR3:AR4" si="11">AE3+AP3+AQ3</f>
        <v>1786.1146982042837</v>
      </c>
      <c r="AS3" s="65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</row>
    <row r="4" spans="1:83" s="79" customFormat="1" ht="20.25" customHeight="1" x14ac:dyDescent="0.35">
      <c r="A4" s="64"/>
      <c r="B4" s="64" t="s">
        <v>151</v>
      </c>
      <c r="C4" s="284"/>
      <c r="D4" s="65" t="s">
        <v>154</v>
      </c>
      <c r="E4" s="64" t="s">
        <v>155</v>
      </c>
      <c r="F4" s="66" t="s">
        <v>156</v>
      </c>
      <c r="G4" s="65">
        <v>20100002</v>
      </c>
      <c r="H4" s="64" t="s">
        <v>163</v>
      </c>
      <c r="I4" s="80" t="s">
        <v>161</v>
      </c>
      <c r="J4" s="64" t="s">
        <v>165</v>
      </c>
      <c r="K4" s="64" t="s">
        <v>166</v>
      </c>
      <c r="L4" s="64">
        <v>1</v>
      </c>
      <c r="M4" s="67" t="s">
        <v>167</v>
      </c>
      <c r="N4" s="64"/>
      <c r="O4" s="64"/>
      <c r="P4" s="64"/>
      <c r="Q4" s="69"/>
      <c r="R4" s="68"/>
      <c r="S4" s="68"/>
      <c r="T4" s="65">
        <v>3485</v>
      </c>
      <c r="U4" s="65">
        <v>3485</v>
      </c>
      <c r="V4" s="65">
        <f>U4+72.36</f>
        <v>3557.36</v>
      </c>
      <c r="W4" s="65">
        <v>1320.55</v>
      </c>
      <c r="X4" s="70" t="s">
        <v>112</v>
      </c>
      <c r="Y4" s="66">
        <f t="shared" si="0"/>
        <v>234883.58739999999</v>
      </c>
      <c r="Z4" s="71">
        <f t="shared" si="1"/>
        <v>93953.434959999999</v>
      </c>
      <c r="AA4" s="66">
        <f t="shared" si="2"/>
        <v>10000</v>
      </c>
      <c r="AB4" s="74">
        <f t="shared" si="3"/>
        <v>6666.666666666667</v>
      </c>
      <c r="AC4" s="72">
        <v>13389</v>
      </c>
      <c r="AD4" s="71">
        <f t="shared" si="4"/>
        <v>358892.68902666669</v>
      </c>
      <c r="AE4" s="73">
        <f>(AD4/W4)+((AD4*0.1%)/W4)</f>
        <v>272.0469362884354</v>
      </c>
      <c r="AF4" s="74">
        <v>0</v>
      </c>
      <c r="AG4" s="74">
        <f t="shared" si="5"/>
        <v>5.0484015498592765</v>
      </c>
      <c r="AH4" s="71">
        <f t="shared" si="6"/>
        <v>4.4466999999999999</v>
      </c>
      <c r="AI4" s="74">
        <f t="shared" ref="AI4:AI67" si="12">(V4*10)/W4</f>
        <v>26.938472606111091</v>
      </c>
      <c r="AJ4" s="74">
        <f t="shared" si="7"/>
        <v>446.66666666666669</v>
      </c>
      <c r="AK4" s="71">
        <f t="shared" si="8"/>
        <v>10.616983333333334</v>
      </c>
      <c r="AL4" s="70" t="s">
        <v>112</v>
      </c>
      <c r="AM4" s="74">
        <f t="shared" ref="AM4" si="13">(686850/W4)/3</f>
        <v>173.37473022604217</v>
      </c>
      <c r="AN4" s="72" t="s">
        <v>112</v>
      </c>
      <c r="AO4" s="72" t="s">
        <v>112</v>
      </c>
      <c r="AP4" s="75">
        <f t="shared" si="9"/>
        <v>667.09195438201255</v>
      </c>
      <c r="AQ4" s="82">
        <f t="shared" si="10"/>
        <v>66.666666666666671</v>
      </c>
      <c r="AR4" s="76">
        <f t="shared" si="11"/>
        <v>1005.8055573371146</v>
      </c>
      <c r="AS4" s="65"/>
      <c r="AT4" s="77"/>
      <c r="AU4" s="77"/>
      <c r="AV4" s="77"/>
      <c r="AW4" s="77"/>
      <c r="AX4" s="77"/>
      <c r="AY4" s="77"/>
      <c r="AZ4" s="77"/>
      <c r="BA4" s="77"/>
      <c r="BB4" s="77"/>
      <c r="BC4" s="77"/>
      <c r="BD4" s="77"/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</row>
    <row r="5" spans="1:83" s="79" customFormat="1" ht="20.25" customHeight="1" x14ac:dyDescent="0.35">
      <c r="A5" s="86"/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>
        <f>SUM(T2:T4)</f>
        <v>29839</v>
      </c>
      <c r="U5" s="86">
        <f>SUM(U2:U4)</f>
        <v>29839</v>
      </c>
      <c r="V5" s="87">
        <f>SUM(V2:V4)</f>
        <v>31251.360000000001</v>
      </c>
      <c r="W5" s="86"/>
      <c r="X5" s="86"/>
      <c r="Y5" s="86">
        <f t="shared" ref="Y5:AD5" si="14">SUM(Y2:Y4)</f>
        <v>2063449.1724</v>
      </c>
      <c r="Z5" s="87">
        <f t="shared" si="14"/>
        <v>825379.66895999992</v>
      </c>
      <c r="AA5" s="86">
        <f t="shared" si="14"/>
        <v>30000</v>
      </c>
      <c r="AB5" s="86">
        <f t="shared" si="14"/>
        <v>20000</v>
      </c>
      <c r="AC5" s="86">
        <f t="shared" si="14"/>
        <v>13389</v>
      </c>
      <c r="AD5" s="87">
        <f t="shared" si="14"/>
        <v>2952217.8413600004</v>
      </c>
      <c r="AE5" s="88">
        <f t="shared" ref="AE5:AM5" si="15">SUM(AE2:AE4)</f>
        <v>2237.8327660454815</v>
      </c>
      <c r="AF5" s="88">
        <f t="shared" si="15"/>
        <v>82.541365340199164</v>
      </c>
      <c r="AG5" s="88">
        <f t="shared" si="15"/>
        <v>15.145204649577829</v>
      </c>
      <c r="AH5" s="87">
        <f t="shared" si="15"/>
        <v>39.064200000000007</v>
      </c>
      <c r="AI5" s="88">
        <f t="shared" si="15"/>
        <v>236.65412138881527</v>
      </c>
      <c r="AJ5" s="86">
        <f t="shared" si="15"/>
        <v>1340</v>
      </c>
      <c r="AK5" s="87">
        <f t="shared" si="15"/>
        <v>72.363510000000005</v>
      </c>
      <c r="AL5" s="87">
        <f t="shared" si="15"/>
        <v>0</v>
      </c>
      <c r="AM5" s="88">
        <f t="shared" si="15"/>
        <v>520.12419067812652</v>
      </c>
      <c r="AN5" s="86"/>
      <c r="AO5" s="86"/>
      <c r="AP5" s="88">
        <f>SUM(AP2:AP4)</f>
        <v>2305.892592056719</v>
      </c>
      <c r="AQ5" s="86">
        <f>SUM(AQ2:AQ4)</f>
        <v>200</v>
      </c>
      <c r="AR5" s="88">
        <f>SUM(AR2:AR4)</f>
        <v>4743.7253581022005</v>
      </c>
      <c r="AS5" s="86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7"/>
      <c r="BQ5" s="77"/>
      <c r="BR5" s="78"/>
      <c r="BS5" s="78"/>
      <c r="BT5" s="78"/>
      <c r="BU5" s="78"/>
      <c r="BV5" s="78"/>
    </row>
    <row r="6" spans="1:83" s="115" customFormat="1" ht="22.5" customHeight="1" x14ac:dyDescent="0.35">
      <c r="A6" s="83"/>
      <c r="B6" s="105" t="s">
        <v>151</v>
      </c>
      <c r="C6" s="285" t="s">
        <v>169</v>
      </c>
      <c r="D6" s="83" t="s">
        <v>170</v>
      </c>
      <c r="E6" s="105" t="s">
        <v>155</v>
      </c>
      <c r="F6" s="106" t="s">
        <v>156</v>
      </c>
      <c r="G6" s="83">
        <v>20080002</v>
      </c>
      <c r="H6" s="83" t="s">
        <v>158</v>
      </c>
      <c r="I6" s="83" t="s">
        <v>172</v>
      </c>
      <c r="J6" s="83" t="s">
        <v>174</v>
      </c>
      <c r="K6" s="105" t="s">
        <v>166</v>
      </c>
      <c r="L6" s="105">
        <v>1</v>
      </c>
      <c r="M6" s="107" t="s">
        <v>167</v>
      </c>
      <c r="N6" s="108" t="s">
        <v>168</v>
      </c>
      <c r="O6" s="108">
        <v>1</v>
      </c>
      <c r="P6" s="108" t="s">
        <v>111</v>
      </c>
      <c r="Q6" s="109">
        <v>44224</v>
      </c>
      <c r="R6" s="84">
        <v>100165666861</v>
      </c>
      <c r="S6" s="85">
        <v>44204</v>
      </c>
      <c r="T6" s="83">
        <v>20771</v>
      </c>
      <c r="U6" s="83">
        <v>20771</v>
      </c>
      <c r="V6" s="110">
        <v>22241</v>
      </c>
      <c r="W6" s="83">
        <v>1338</v>
      </c>
      <c r="X6" s="83">
        <v>0</v>
      </c>
      <c r="Y6" s="83">
        <f t="shared" si="0"/>
        <v>1487922.9000000001</v>
      </c>
      <c r="Z6" s="111">
        <f t="shared" si="1"/>
        <v>595169.16</v>
      </c>
      <c r="AA6" s="83">
        <f>30000/2</f>
        <v>15000</v>
      </c>
      <c r="AB6" s="83">
        <f>20000/2</f>
        <v>10000</v>
      </c>
      <c r="AC6" s="83">
        <v>0</v>
      </c>
      <c r="AD6" s="111">
        <f t="shared" si="4"/>
        <v>2108092.06</v>
      </c>
      <c r="AE6" s="112">
        <f t="shared" ref="AE6:AE39" si="16">(AD6/W6)+((AD6*0.1%)/W6)</f>
        <v>1577.130158490284</v>
      </c>
      <c r="AF6" s="112">
        <f>(109000/W6)/2</f>
        <v>40.732436472346784</v>
      </c>
      <c r="AG6" s="112">
        <f>(20000/2)/W6</f>
        <v>7.4738415545590433</v>
      </c>
      <c r="AH6" s="113">
        <f>V6*0.125%</f>
        <v>27.80125</v>
      </c>
      <c r="AI6" s="112">
        <f t="shared" si="12"/>
        <v>166.22571001494768</v>
      </c>
      <c r="AJ6" s="83">
        <f>1780/2</f>
        <v>890</v>
      </c>
      <c r="AK6" s="71">
        <f>(U6*110%*0.19%)+(10/2)</f>
        <v>48.411390000000004</v>
      </c>
      <c r="AL6" s="112">
        <f>(39769/2)/W6</f>
        <v>14.861360239162929</v>
      </c>
      <c r="AM6" s="112">
        <f>(755752/W6)/2</f>
        <v>282.41853512705529</v>
      </c>
      <c r="AN6" s="83">
        <v>0</v>
      </c>
      <c r="AO6" s="83">
        <v>0</v>
      </c>
      <c r="AP6" s="114">
        <f t="shared" ref="AP6:AP69" si="17">SUM(AF6:AO6)</f>
        <v>1477.9245234080715</v>
      </c>
      <c r="AQ6" s="83">
        <f>(150+50)/2</f>
        <v>100</v>
      </c>
      <c r="AR6" s="114">
        <f t="shared" ref="AR6:AR69" si="18">AE6+AP6+AQ6</f>
        <v>3155.0546818983557</v>
      </c>
      <c r="AS6" s="83"/>
      <c r="AT6" s="77"/>
      <c r="AU6" s="77"/>
      <c r="AV6" s="77"/>
      <c r="AW6" s="77"/>
      <c r="AX6" s="77"/>
      <c r="AY6" s="77"/>
      <c r="AZ6" s="77"/>
      <c r="BA6" s="77"/>
      <c r="BB6" s="77"/>
      <c r="BC6" s="77"/>
      <c r="BD6" s="77"/>
      <c r="BE6" s="77"/>
      <c r="BF6" s="77"/>
      <c r="BG6" s="77"/>
      <c r="BH6" s="77"/>
      <c r="BI6" s="77"/>
      <c r="BJ6" s="77"/>
      <c r="BK6" s="77"/>
      <c r="BL6" s="77"/>
      <c r="BM6" s="77"/>
      <c r="BN6" s="77"/>
      <c r="BO6" s="77"/>
      <c r="BP6" s="77"/>
      <c r="BQ6" s="77"/>
      <c r="BR6" s="77"/>
      <c r="BS6" s="77"/>
      <c r="BT6" s="77"/>
      <c r="BU6" s="77"/>
      <c r="BV6" s="77"/>
    </row>
    <row r="7" spans="1:83" s="115" customFormat="1" ht="22.5" customHeight="1" x14ac:dyDescent="0.35">
      <c r="A7" s="83"/>
      <c r="B7" s="105" t="s">
        <v>151</v>
      </c>
      <c r="C7" s="286"/>
      <c r="D7" s="83" t="s">
        <v>171</v>
      </c>
      <c r="E7" s="105" t="s">
        <v>155</v>
      </c>
      <c r="F7" s="83" t="s">
        <v>157</v>
      </c>
      <c r="G7" s="83">
        <v>20080001</v>
      </c>
      <c r="H7" s="83" t="s">
        <v>158</v>
      </c>
      <c r="I7" s="83" t="s">
        <v>173</v>
      </c>
      <c r="J7" s="83" t="s">
        <v>174</v>
      </c>
      <c r="K7" s="105" t="s">
        <v>166</v>
      </c>
      <c r="L7" s="105">
        <v>1</v>
      </c>
      <c r="M7" s="107" t="s">
        <v>167</v>
      </c>
      <c r="N7" s="83"/>
      <c r="O7" s="83"/>
      <c r="P7" s="83"/>
      <c r="Q7" s="83"/>
      <c r="R7" s="83"/>
      <c r="S7" s="83"/>
      <c r="T7" s="83">
        <v>17858</v>
      </c>
      <c r="U7" s="83">
        <v>17858</v>
      </c>
      <c r="V7" s="110">
        <v>19122</v>
      </c>
      <c r="W7" s="83">
        <v>1338</v>
      </c>
      <c r="X7" s="83">
        <v>0</v>
      </c>
      <c r="Y7" s="83">
        <f t="shared" si="0"/>
        <v>1279261.8</v>
      </c>
      <c r="Z7" s="111">
        <f t="shared" si="1"/>
        <v>511704.72</v>
      </c>
      <c r="AA7" s="83">
        <f>30000/2</f>
        <v>15000</v>
      </c>
      <c r="AB7" s="83">
        <f>20000/2</f>
        <v>10000</v>
      </c>
      <c r="AC7" s="83">
        <v>0</v>
      </c>
      <c r="AD7" s="111">
        <f t="shared" si="4"/>
        <v>1815966.52</v>
      </c>
      <c r="AE7" s="112">
        <f t="shared" si="16"/>
        <v>1358.5818284902839</v>
      </c>
      <c r="AF7" s="112">
        <f>(109000/W7)/2</f>
        <v>40.732436472346784</v>
      </c>
      <c r="AG7" s="112">
        <f>(20000/2)/W7</f>
        <v>7.4738415545590433</v>
      </c>
      <c r="AH7" s="113">
        <f>V7*0.125%</f>
        <v>23.9025</v>
      </c>
      <c r="AI7" s="112">
        <f t="shared" si="12"/>
        <v>142.91479820627802</v>
      </c>
      <c r="AJ7" s="83">
        <f>1780/2</f>
        <v>890</v>
      </c>
      <c r="AK7" s="71">
        <f>(U7*110%*0.19%)+(10/2)</f>
        <v>42.323220000000006</v>
      </c>
      <c r="AL7" s="112">
        <f>(39769/2)/W7</f>
        <v>14.861360239162929</v>
      </c>
      <c r="AM7" s="112">
        <f>(755752/W7)/2</f>
        <v>282.41853512705529</v>
      </c>
      <c r="AN7" s="83">
        <v>0</v>
      </c>
      <c r="AO7" s="83">
        <v>0</v>
      </c>
      <c r="AP7" s="114">
        <f t="shared" si="17"/>
        <v>1444.626691599402</v>
      </c>
      <c r="AQ7" s="83">
        <f>(150+50)/2</f>
        <v>100</v>
      </c>
      <c r="AR7" s="114">
        <f t="shared" si="18"/>
        <v>2903.2085200896859</v>
      </c>
      <c r="AS7" s="83"/>
      <c r="AT7" s="77"/>
      <c r="AU7" s="77"/>
      <c r="AV7" s="77"/>
      <c r="AW7" s="77"/>
      <c r="AX7" s="77"/>
      <c r="AY7" s="77"/>
      <c r="AZ7" s="77"/>
      <c r="BA7" s="77"/>
      <c r="BB7" s="77"/>
      <c r="BC7" s="77"/>
      <c r="BD7" s="77"/>
      <c r="BE7" s="77"/>
      <c r="BF7" s="77"/>
      <c r="BG7" s="77"/>
      <c r="BH7" s="77"/>
      <c r="BI7" s="77"/>
      <c r="BJ7" s="77"/>
      <c r="BK7" s="77"/>
      <c r="BL7" s="77"/>
      <c r="BM7" s="77"/>
      <c r="BN7" s="77"/>
      <c r="BO7" s="77"/>
      <c r="BP7" s="77"/>
      <c r="BQ7" s="77"/>
      <c r="BR7" s="77"/>
      <c r="BS7" s="77"/>
      <c r="BT7" s="77"/>
      <c r="BU7" s="77"/>
      <c r="BV7" s="77"/>
    </row>
    <row r="8" spans="1:83" s="79" customFormat="1" ht="19.5" customHeight="1" x14ac:dyDescent="0.35">
      <c r="A8" s="86"/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  <c r="M8" s="86"/>
      <c r="N8" s="86"/>
      <c r="O8" s="86"/>
      <c r="P8" s="86"/>
      <c r="Q8" s="86"/>
      <c r="R8" s="86"/>
      <c r="S8" s="86"/>
      <c r="T8" s="86">
        <f>SUM(T6:T7)</f>
        <v>38629</v>
      </c>
      <c r="U8" s="86">
        <f>SUM(U6:U7)</f>
        <v>38629</v>
      </c>
      <c r="V8" s="86">
        <f>SUM(V6:V7)</f>
        <v>41363</v>
      </c>
      <c r="W8" s="86"/>
      <c r="X8" s="86"/>
      <c r="Y8" s="103">
        <f>SUM(Y6:Y7)</f>
        <v>2767184.7</v>
      </c>
      <c r="Z8" s="103">
        <f>SUM(Z6:Z7)</f>
        <v>1106873.8799999999</v>
      </c>
      <c r="AA8" s="86">
        <f>SUM(AA6:AA7)</f>
        <v>30000</v>
      </c>
      <c r="AB8" s="86">
        <f>SUM(AB6:AB7)</f>
        <v>20000</v>
      </c>
      <c r="AC8" s="86"/>
      <c r="AD8" s="103">
        <f>SUM(AD6:AD7)</f>
        <v>3924058.58</v>
      </c>
      <c r="AE8" s="88">
        <f>SUM(AE5:AE7)</f>
        <v>5173.5447530260499</v>
      </c>
      <c r="AF8" s="88">
        <f t="shared" ref="AF8:AL8" si="19">SUM(AF6:AF7)</f>
        <v>81.464872944693568</v>
      </c>
      <c r="AG8" s="88">
        <f t="shared" si="19"/>
        <v>14.947683109118087</v>
      </c>
      <c r="AH8" s="104">
        <f t="shared" si="19"/>
        <v>51.703749999999999</v>
      </c>
      <c r="AI8" s="88">
        <f t="shared" si="19"/>
        <v>309.14050822122567</v>
      </c>
      <c r="AJ8" s="88">
        <f t="shared" si="19"/>
        <v>1780</v>
      </c>
      <c r="AK8" s="88">
        <f t="shared" si="19"/>
        <v>90.734610000000004</v>
      </c>
      <c r="AL8" s="88">
        <f t="shared" si="19"/>
        <v>29.722720478325858</v>
      </c>
      <c r="AM8" s="88">
        <f>SUM(AM6:AM7)</f>
        <v>564.83707025411059</v>
      </c>
      <c r="AN8" s="86"/>
      <c r="AO8" s="86"/>
      <c r="AP8" s="103">
        <f>AP7+AP6</f>
        <v>2922.5512150074737</v>
      </c>
      <c r="AQ8" s="86">
        <f>AQ7+AQ6</f>
        <v>200</v>
      </c>
      <c r="AR8" s="88">
        <f>AR7+AR6</f>
        <v>6058.2632019880421</v>
      </c>
      <c r="AS8" s="86"/>
      <c r="AT8" s="77"/>
      <c r="AU8" s="77"/>
      <c r="AV8" s="77"/>
      <c r="AW8" s="77"/>
      <c r="AX8" s="77"/>
      <c r="AY8" s="77"/>
      <c r="AZ8" s="77"/>
      <c r="BA8" s="77"/>
      <c r="BB8" s="77"/>
      <c r="BC8" s="77"/>
      <c r="BD8" s="77"/>
      <c r="BE8" s="77"/>
      <c r="BF8" s="77"/>
      <c r="BG8" s="77"/>
      <c r="BH8" s="77"/>
      <c r="BI8" s="77"/>
      <c r="BJ8" s="77"/>
      <c r="BK8" s="77"/>
      <c r="BL8" s="77"/>
      <c r="BM8" s="77"/>
      <c r="BN8" s="77"/>
      <c r="BO8" s="77"/>
      <c r="BP8" s="77"/>
      <c r="BQ8" s="77"/>
      <c r="BR8" s="78"/>
      <c r="BS8" s="78"/>
      <c r="BT8" s="78"/>
      <c r="BU8" s="78"/>
      <c r="BV8" s="78"/>
    </row>
    <row r="9" spans="1:83" s="125" customFormat="1" ht="19.5" customHeight="1" x14ac:dyDescent="0.35">
      <c r="A9" s="122"/>
      <c r="B9" s="105" t="s">
        <v>151</v>
      </c>
      <c r="C9" s="287" t="s">
        <v>175</v>
      </c>
      <c r="D9" s="110" t="s">
        <v>176</v>
      </c>
      <c r="E9" s="105" t="s">
        <v>155</v>
      </c>
      <c r="F9" s="122" t="s">
        <v>177</v>
      </c>
      <c r="G9" s="122">
        <v>20090001</v>
      </c>
      <c r="H9" s="83" t="s">
        <v>158</v>
      </c>
      <c r="I9" s="110" t="s">
        <v>178</v>
      </c>
      <c r="J9" s="83" t="s">
        <v>174</v>
      </c>
      <c r="K9" s="105" t="s">
        <v>166</v>
      </c>
      <c r="L9" s="105">
        <v>1</v>
      </c>
      <c r="M9" s="107" t="s">
        <v>167</v>
      </c>
      <c r="N9" s="123" t="s">
        <v>182</v>
      </c>
      <c r="O9" s="123">
        <v>1</v>
      </c>
      <c r="P9" s="108" t="s">
        <v>111</v>
      </c>
      <c r="Q9" s="109">
        <v>44253</v>
      </c>
      <c r="R9" s="84">
        <v>100168168000</v>
      </c>
      <c r="S9" s="85">
        <v>44231</v>
      </c>
      <c r="T9" s="110">
        <v>18882</v>
      </c>
      <c r="U9" s="110">
        <v>18882</v>
      </c>
      <c r="V9" s="110">
        <f>U9+635.7</f>
        <v>19517.7</v>
      </c>
      <c r="W9" s="110">
        <v>1333.1</v>
      </c>
      <c r="X9" s="122">
        <v>0</v>
      </c>
      <c r="Y9" s="83">
        <f t="shared" si="0"/>
        <v>1300952.2935000001</v>
      </c>
      <c r="Z9" s="111">
        <f t="shared" si="1"/>
        <v>520380.91740000003</v>
      </c>
      <c r="AA9" s="122">
        <f>30000/4</f>
        <v>7500</v>
      </c>
      <c r="AB9" s="122">
        <f>20000/4</f>
        <v>5000</v>
      </c>
      <c r="AC9" s="122">
        <v>0</v>
      </c>
      <c r="AD9" s="111">
        <f t="shared" si="4"/>
        <v>1833833.2109000003</v>
      </c>
      <c r="AE9" s="112">
        <f t="shared" si="16"/>
        <v>1376.9912565530722</v>
      </c>
      <c r="AF9" s="124">
        <f>(109000/W9)/4</f>
        <v>20.44107718850799</v>
      </c>
      <c r="AG9" s="124">
        <f>(20000/4)/W9</f>
        <v>3.7506563648638513</v>
      </c>
      <c r="AH9" s="113">
        <f t="shared" ref="AH9:AH45" si="20">V9*0.125%</f>
        <v>24.397125000000003</v>
      </c>
      <c r="AI9" s="112">
        <f t="shared" si="12"/>
        <v>146.40837146500638</v>
      </c>
      <c r="AJ9" s="122">
        <f>(2380+80)/4</f>
        <v>615</v>
      </c>
      <c r="AK9" s="71">
        <f>(U9*110%*0.19%)+(10/4)</f>
        <v>41.963380000000001</v>
      </c>
      <c r="AL9" s="122">
        <v>0</v>
      </c>
      <c r="AM9" s="122">
        <f>(1106204/W9)/4</f>
        <v>207.4495536718926</v>
      </c>
      <c r="AN9" s="122">
        <v>0</v>
      </c>
      <c r="AO9" s="122">
        <v>0</v>
      </c>
      <c r="AP9" s="114">
        <f t="shared" si="17"/>
        <v>1059.4101636902708</v>
      </c>
      <c r="AQ9" s="122">
        <f>(50+200)/4</f>
        <v>62.5</v>
      </c>
      <c r="AR9" s="114">
        <f t="shared" si="18"/>
        <v>2498.9014202433427</v>
      </c>
      <c r="AS9" s="122"/>
      <c r="AT9" s="59"/>
      <c r="AU9" s="59"/>
      <c r="AV9" s="59"/>
      <c r="AW9" s="59"/>
      <c r="AX9" s="59"/>
      <c r="AY9" s="59"/>
      <c r="AZ9" s="59"/>
      <c r="BA9" s="59"/>
      <c r="BB9" s="59"/>
      <c r="BC9" s="59"/>
      <c r="BD9" s="59"/>
      <c r="BE9" s="59"/>
      <c r="BF9" s="59"/>
      <c r="BG9" s="59"/>
      <c r="BH9" s="59"/>
      <c r="BI9" s="59"/>
      <c r="BJ9" s="59"/>
      <c r="BK9" s="59"/>
      <c r="BL9" s="59"/>
      <c r="BM9" s="59"/>
      <c r="BN9" s="59"/>
      <c r="BO9" s="59"/>
      <c r="BP9" s="59"/>
      <c r="BQ9" s="59"/>
      <c r="BR9" s="59"/>
      <c r="BS9" s="59"/>
      <c r="BT9" s="59"/>
      <c r="BU9" s="59"/>
      <c r="BV9" s="59"/>
    </row>
    <row r="10" spans="1:83" s="125" customFormat="1" ht="19.5" customHeight="1" x14ac:dyDescent="0.35">
      <c r="A10" s="122"/>
      <c r="B10" s="105" t="s">
        <v>151</v>
      </c>
      <c r="C10" s="288"/>
      <c r="D10" s="110" t="s">
        <v>176</v>
      </c>
      <c r="E10" s="105" t="s">
        <v>155</v>
      </c>
      <c r="F10" s="122" t="s">
        <v>177</v>
      </c>
      <c r="G10" s="122">
        <v>20090001</v>
      </c>
      <c r="H10" s="83" t="s">
        <v>158</v>
      </c>
      <c r="I10" s="110" t="s">
        <v>179</v>
      </c>
      <c r="J10" s="83" t="s">
        <v>174</v>
      </c>
      <c r="K10" s="105" t="s">
        <v>166</v>
      </c>
      <c r="L10" s="105">
        <v>1</v>
      </c>
      <c r="M10" s="107" t="s">
        <v>167</v>
      </c>
      <c r="N10" s="122"/>
      <c r="O10" s="122"/>
      <c r="P10" s="122"/>
      <c r="Q10" s="122"/>
      <c r="R10" s="122"/>
      <c r="S10" s="110"/>
      <c r="T10" s="110">
        <v>18882</v>
      </c>
      <c r="U10" s="110">
        <v>18882</v>
      </c>
      <c r="V10" s="110">
        <f t="shared" ref="V10:V12" si="21">U10+635.7</f>
        <v>19517.7</v>
      </c>
      <c r="W10" s="110">
        <v>1333.1</v>
      </c>
      <c r="X10" s="122">
        <v>0</v>
      </c>
      <c r="Y10" s="83">
        <f t="shared" si="0"/>
        <v>1300952.2935000001</v>
      </c>
      <c r="Z10" s="111">
        <f t="shared" si="1"/>
        <v>520380.91740000003</v>
      </c>
      <c r="AA10" s="122">
        <f t="shared" ref="AA10:AA12" si="22">30000/4</f>
        <v>7500</v>
      </c>
      <c r="AB10" s="122">
        <f t="shared" ref="AB10:AB12" si="23">20000/4</f>
        <v>5000</v>
      </c>
      <c r="AC10" s="122">
        <v>0</v>
      </c>
      <c r="AD10" s="111">
        <f t="shared" si="4"/>
        <v>1833833.2109000003</v>
      </c>
      <c r="AE10" s="112">
        <f t="shared" si="16"/>
        <v>1376.9912565530722</v>
      </c>
      <c r="AF10" s="124">
        <f t="shared" ref="AF10:AF12" si="24">(109000/W10)/4</f>
        <v>20.44107718850799</v>
      </c>
      <c r="AG10" s="124">
        <f t="shared" ref="AG10:AG12" si="25">(20000/4)/W10</f>
        <v>3.7506563648638513</v>
      </c>
      <c r="AH10" s="113">
        <f t="shared" si="20"/>
        <v>24.397125000000003</v>
      </c>
      <c r="AI10" s="112">
        <f t="shared" si="12"/>
        <v>146.40837146500638</v>
      </c>
      <c r="AJ10" s="122">
        <f t="shared" ref="AJ10:AJ12" si="26">(2380+80)/4</f>
        <v>615</v>
      </c>
      <c r="AK10" s="71">
        <f t="shared" ref="AK10:AK12" si="27">(U10*110%*0.19%)+(10/4)</f>
        <v>41.963380000000001</v>
      </c>
      <c r="AL10" s="122">
        <v>0</v>
      </c>
      <c r="AM10" s="122">
        <f t="shared" ref="AM10:AM12" si="28">(1106204/W10)/4</f>
        <v>207.4495536718926</v>
      </c>
      <c r="AN10" s="122">
        <v>0</v>
      </c>
      <c r="AO10" s="122">
        <v>0</v>
      </c>
      <c r="AP10" s="114">
        <f t="shared" si="17"/>
        <v>1059.4101636902708</v>
      </c>
      <c r="AQ10" s="122">
        <f t="shared" ref="AQ10:AQ12" si="29">(50+200)/4</f>
        <v>62.5</v>
      </c>
      <c r="AR10" s="114">
        <f t="shared" si="18"/>
        <v>2498.9014202433427</v>
      </c>
      <c r="AS10" s="122"/>
      <c r="AT10" s="59"/>
      <c r="AU10" s="59"/>
      <c r="AV10" s="59"/>
      <c r="AW10" s="59"/>
      <c r="AX10" s="59"/>
      <c r="AY10" s="59"/>
      <c r="AZ10" s="59"/>
      <c r="BA10" s="59"/>
      <c r="BB10" s="59"/>
      <c r="BC10" s="59"/>
      <c r="BD10" s="59"/>
      <c r="BE10" s="59"/>
      <c r="BF10" s="59"/>
      <c r="BG10" s="59"/>
      <c r="BH10" s="59"/>
      <c r="BI10" s="59"/>
      <c r="BJ10" s="59"/>
      <c r="BK10" s="59"/>
      <c r="BL10" s="59"/>
      <c r="BM10" s="59"/>
      <c r="BN10" s="59"/>
      <c r="BO10" s="59"/>
      <c r="BP10" s="59"/>
      <c r="BQ10" s="59"/>
      <c r="BR10" s="59"/>
      <c r="BS10" s="59"/>
      <c r="BT10" s="59"/>
      <c r="BU10" s="59"/>
      <c r="BV10" s="59"/>
    </row>
    <row r="11" spans="1:83" s="125" customFormat="1" ht="19.5" customHeight="1" x14ac:dyDescent="0.35">
      <c r="A11" s="122"/>
      <c r="B11" s="105" t="s">
        <v>151</v>
      </c>
      <c r="C11" s="288"/>
      <c r="D11" s="110" t="s">
        <v>176</v>
      </c>
      <c r="E11" s="105" t="s">
        <v>155</v>
      </c>
      <c r="F11" s="122" t="s">
        <v>177</v>
      </c>
      <c r="G11" s="122">
        <v>20090001</v>
      </c>
      <c r="H11" s="83" t="s">
        <v>158</v>
      </c>
      <c r="I11" s="110" t="s">
        <v>180</v>
      </c>
      <c r="J11" s="83" t="s">
        <v>174</v>
      </c>
      <c r="K11" s="105" t="s">
        <v>166</v>
      </c>
      <c r="L11" s="105">
        <v>1</v>
      </c>
      <c r="M11" s="107" t="s">
        <v>167</v>
      </c>
      <c r="N11" s="122"/>
      <c r="O11" s="122"/>
      <c r="P11" s="122"/>
      <c r="Q11" s="122"/>
      <c r="R11" s="122"/>
      <c r="S11" s="110"/>
      <c r="T11" s="110">
        <v>17674</v>
      </c>
      <c r="U11" s="110">
        <v>17674</v>
      </c>
      <c r="V11" s="110">
        <f t="shared" si="21"/>
        <v>18309.7</v>
      </c>
      <c r="W11" s="110">
        <v>1333.1</v>
      </c>
      <c r="X11" s="122">
        <v>0</v>
      </c>
      <c r="Y11" s="83">
        <f t="shared" si="0"/>
        <v>1220433.0535000002</v>
      </c>
      <c r="Z11" s="111">
        <f t="shared" si="1"/>
        <v>488173.22139999998</v>
      </c>
      <c r="AA11" s="122">
        <f t="shared" si="22"/>
        <v>7500</v>
      </c>
      <c r="AB11" s="122">
        <f t="shared" si="23"/>
        <v>5000</v>
      </c>
      <c r="AC11" s="122">
        <v>0</v>
      </c>
      <c r="AD11" s="111">
        <f t="shared" si="4"/>
        <v>1721106.2749000001</v>
      </c>
      <c r="AE11" s="112">
        <f t="shared" si="16"/>
        <v>1292.346696553072</v>
      </c>
      <c r="AF11" s="124">
        <f t="shared" si="24"/>
        <v>20.44107718850799</v>
      </c>
      <c r="AG11" s="124">
        <f t="shared" si="25"/>
        <v>3.7506563648638513</v>
      </c>
      <c r="AH11" s="113">
        <f t="shared" si="20"/>
        <v>22.887125000000001</v>
      </c>
      <c r="AI11" s="112">
        <f t="shared" si="12"/>
        <v>137.34678568749533</v>
      </c>
      <c r="AJ11" s="122">
        <f t="shared" si="26"/>
        <v>615</v>
      </c>
      <c r="AK11" s="71">
        <f t="shared" si="27"/>
        <v>39.438660000000006</v>
      </c>
      <c r="AL11" s="122">
        <v>0</v>
      </c>
      <c r="AM11" s="122">
        <f t="shared" si="28"/>
        <v>207.4495536718926</v>
      </c>
      <c r="AN11" s="122">
        <v>0</v>
      </c>
      <c r="AO11" s="122">
        <v>0</v>
      </c>
      <c r="AP11" s="114">
        <f t="shared" si="17"/>
        <v>1046.3138579127599</v>
      </c>
      <c r="AQ11" s="122">
        <f t="shared" si="29"/>
        <v>62.5</v>
      </c>
      <c r="AR11" s="114">
        <f t="shared" si="18"/>
        <v>2401.1605544658319</v>
      </c>
      <c r="AS11" s="122"/>
      <c r="AT11" s="59"/>
      <c r="AU11" s="59"/>
      <c r="AV11" s="59"/>
      <c r="AW11" s="59"/>
      <c r="AX11" s="59"/>
      <c r="AY11" s="59"/>
      <c r="AZ11" s="59"/>
      <c r="BA11" s="59"/>
      <c r="BB11" s="59"/>
      <c r="BC11" s="59"/>
      <c r="BD11" s="59"/>
      <c r="BE11" s="59"/>
      <c r="BF11" s="59"/>
      <c r="BG11" s="59"/>
      <c r="BH11" s="59"/>
      <c r="BI11" s="59"/>
      <c r="BJ11" s="59"/>
      <c r="BK11" s="59"/>
      <c r="BL11" s="59"/>
      <c r="BM11" s="59"/>
      <c r="BN11" s="59"/>
      <c r="BO11" s="59"/>
      <c r="BP11" s="59"/>
      <c r="BQ11" s="59"/>
      <c r="BR11" s="59"/>
      <c r="BS11" s="59"/>
      <c r="BT11" s="59"/>
      <c r="BU11" s="59"/>
      <c r="BV11" s="59"/>
    </row>
    <row r="12" spans="1:83" s="125" customFormat="1" ht="19.5" customHeight="1" x14ac:dyDescent="0.35">
      <c r="A12" s="122"/>
      <c r="B12" s="105" t="s">
        <v>151</v>
      </c>
      <c r="C12" s="289"/>
      <c r="D12" s="110" t="s">
        <v>176</v>
      </c>
      <c r="E12" s="105" t="s">
        <v>155</v>
      </c>
      <c r="F12" s="122" t="s">
        <v>177</v>
      </c>
      <c r="G12" s="122">
        <v>20090001</v>
      </c>
      <c r="H12" s="83" t="s">
        <v>158</v>
      </c>
      <c r="I12" s="110" t="s">
        <v>181</v>
      </c>
      <c r="J12" s="83" t="s">
        <v>174</v>
      </c>
      <c r="K12" s="105" t="s">
        <v>166</v>
      </c>
      <c r="L12" s="105">
        <v>1</v>
      </c>
      <c r="M12" s="107" t="s">
        <v>167</v>
      </c>
      <c r="N12" s="122"/>
      <c r="O12" s="122"/>
      <c r="P12" s="122"/>
      <c r="Q12" s="122"/>
      <c r="R12" s="122"/>
      <c r="S12" s="110"/>
      <c r="T12" s="110">
        <v>17674</v>
      </c>
      <c r="U12" s="110">
        <v>17674</v>
      </c>
      <c r="V12" s="110">
        <f t="shared" si="21"/>
        <v>18309.7</v>
      </c>
      <c r="W12" s="110">
        <v>1333.1</v>
      </c>
      <c r="X12" s="122">
        <v>0</v>
      </c>
      <c r="Y12" s="83">
        <f t="shared" ref="Y12:Y75" si="30">(X12+(V12*W12))*5%</f>
        <v>1220433.0535000002</v>
      </c>
      <c r="Z12" s="111">
        <f t="shared" si="1"/>
        <v>488173.22139999998</v>
      </c>
      <c r="AA12" s="122">
        <f t="shared" si="22"/>
        <v>7500</v>
      </c>
      <c r="AB12" s="122">
        <f t="shared" si="23"/>
        <v>5000</v>
      </c>
      <c r="AC12" s="122">
        <v>0</v>
      </c>
      <c r="AD12" s="111">
        <f t="shared" si="4"/>
        <v>1721106.2749000001</v>
      </c>
      <c r="AE12" s="112">
        <f t="shared" si="16"/>
        <v>1292.346696553072</v>
      </c>
      <c r="AF12" s="124">
        <f t="shared" si="24"/>
        <v>20.44107718850799</v>
      </c>
      <c r="AG12" s="124">
        <f t="shared" si="25"/>
        <v>3.7506563648638513</v>
      </c>
      <c r="AH12" s="113">
        <f t="shared" si="20"/>
        <v>22.887125000000001</v>
      </c>
      <c r="AI12" s="112">
        <f t="shared" si="12"/>
        <v>137.34678568749533</v>
      </c>
      <c r="AJ12" s="122">
        <f t="shared" si="26"/>
        <v>615</v>
      </c>
      <c r="AK12" s="71">
        <f t="shared" si="27"/>
        <v>39.438660000000006</v>
      </c>
      <c r="AL12" s="122">
        <v>0</v>
      </c>
      <c r="AM12" s="122">
        <f t="shared" si="28"/>
        <v>207.4495536718926</v>
      </c>
      <c r="AN12" s="122">
        <v>0</v>
      </c>
      <c r="AO12" s="122">
        <v>0</v>
      </c>
      <c r="AP12" s="114">
        <f t="shared" si="17"/>
        <v>1046.3138579127599</v>
      </c>
      <c r="AQ12" s="122">
        <f t="shared" si="29"/>
        <v>62.5</v>
      </c>
      <c r="AR12" s="114">
        <f t="shared" si="18"/>
        <v>2401.1605544658319</v>
      </c>
      <c r="AS12" s="122"/>
      <c r="AT12" s="59"/>
      <c r="AU12" s="59"/>
      <c r="AV12" s="59"/>
      <c r="AW12" s="59"/>
      <c r="AX12" s="59"/>
      <c r="AY12" s="59"/>
      <c r="AZ12" s="59"/>
      <c r="BA12" s="59"/>
      <c r="BB12" s="59"/>
      <c r="BC12" s="59"/>
      <c r="BD12" s="59"/>
      <c r="BE12" s="59"/>
      <c r="BF12" s="59"/>
      <c r="BG12" s="59"/>
      <c r="BH12" s="59"/>
      <c r="BI12" s="59"/>
      <c r="BJ12" s="59"/>
      <c r="BK12" s="59"/>
      <c r="BL12" s="59"/>
      <c r="BM12" s="59"/>
      <c r="BN12" s="59"/>
      <c r="BO12" s="59"/>
      <c r="BP12" s="59"/>
      <c r="BQ12" s="59"/>
      <c r="BR12" s="59"/>
      <c r="BS12" s="59"/>
      <c r="BT12" s="59"/>
      <c r="BU12" s="59"/>
      <c r="BV12" s="59"/>
    </row>
    <row r="13" spans="1:83" ht="19.5" customHeight="1" x14ac:dyDescent="0.35">
      <c r="A13" s="116"/>
      <c r="B13" s="116"/>
      <c r="C13" s="116"/>
      <c r="D13" s="116"/>
      <c r="E13" s="116"/>
      <c r="F13" s="116"/>
      <c r="G13" s="116"/>
      <c r="H13" s="116"/>
      <c r="I13" s="116"/>
      <c r="J13" s="116"/>
      <c r="K13" s="116"/>
      <c r="L13" s="116"/>
      <c r="M13" s="116"/>
      <c r="N13" s="116"/>
      <c r="O13" s="116"/>
      <c r="P13" s="116"/>
      <c r="Q13" s="116"/>
      <c r="R13" s="116"/>
      <c r="S13" s="117"/>
      <c r="T13" s="117"/>
      <c r="U13" s="117"/>
      <c r="V13" s="117"/>
      <c r="W13" s="117"/>
      <c r="X13" s="116"/>
      <c r="Y13" s="116">
        <f>SUM(Y9:Y12)</f>
        <v>5042770.6940000011</v>
      </c>
      <c r="Z13" s="118">
        <f>SUM(Z9:Z12)</f>
        <v>2017108.2775999999</v>
      </c>
      <c r="AA13" s="116">
        <f>SUM(AA9:AA12)</f>
        <v>30000</v>
      </c>
      <c r="AB13" s="116">
        <f>SUM(AB9:AB12)</f>
        <v>20000</v>
      </c>
      <c r="AC13" s="116"/>
      <c r="AD13" s="119">
        <f t="shared" ref="AD13:AK13" si="31">SUM(AD9:AD12)</f>
        <v>7109878.9716000017</v>
      </c>
      <c r="AE13" s="121">
        <f t="shared" si="31"/>
        <v>5338.6759062122883</v>
      </c>
      <c r="AF13" s="120">
        <f t="shared" si="31"/>
        <v>81.764308754031958</v>
      </c>
      <c r="AG13" s="119">
        <f t="shared" si="31"/>
        <v>15.002625459455405</v>
      </c>
      <c r="AH13" s="119">
        <f t="shared" si="31"/>
        <v>94.5685</v>
      </c>
      <c r="AI13" s="119">
        <f t="shared" si="31"/>
        <v>567.51031430500336</v>
      </c>
      <c r="AJ13" s="116">
        <f t="shared" si="31"/>
        <v>2460</v>
      </c>
      <c r="AK13" s="116">
        <f t="shared" si="31"/>
        <v>162.80408</v>
      </c>
      <c r="AL13" s="116"/>
      <c r="AM13" s="116">
        <f>SUM(AM9:AM12)</f>
        <v>829.79821468757041</v>
      </c>
      <c r="AN13" s="116"/>
      <c r="AO13" s="116"/>
      <c r="AP13" s="126">
        <f>SUM(AP9:AP12)</f>
        <v>4211.4480432060609</v>
      </c>
      <c r="AQ13" s="116">
        <f t="shared" ref="AQ13" si="32">SUM(AQ9:AQ12)</f>
        <v>250</v>
      </c>
      <c r="AR13" s="126">
        <f>SUM(AR9:AR12)</f>
        <v>9800.1239494183501</v>
      </c>
      <c r="AS13" s="116"/>
    </row>
    <row r="14" spans="1:83" s="125" customFormat="1" ht="21.75" customHeight="1" x14ac:dyDescent="0.35">
      <c r="A14" s="105" t="s">
        <v>196</v>
      </c>
      <c r="B14" s="105" t="s">
        <v>151</v>
      </c>
      <c r="C14" s="129" t="s">
        <v>195</v>
      </c>
      <c r="D14" s="129" t="s">
        <v>183</v>
      </c>
      <c r="E14" s="105" t="s">
        <v>155</v>
      </c>
      <c r="F14" s="105" t="s">
        <v>177</v>
      </c>
      <c r="G14" s="130">
        <v>20120002</v>
      </c>
      <c r="H14" s="130" t="s">
        <v>185</v>
      </c>
      <c r="I14" s="131" t="s">
        <v>187</v>
      </c>
      <c r="J14" s="129" t="s">
        <v>222</v>
      </c>
      <c r="K14" s="129" t="s">
        <v>166</v>
      </c>
      <c r="L14" s="132">
        <v>1</v>
      </c>
      <c r="M14" s="132" t="s">
        <v>167</v>
      </c>
      <c r="N14" s="122" t="s">
        <v>223</v>
      </c>
      <c r="O14" s="123">
        <v>2</v>
      </c>
      <c r="P14" s="122" t="s">
        <v>111</v>
      </c>
      <c r="Q14" s="109">
        <v>44327</v>
      </c>
      <c r="R14" s="84">
        <v>100172289931</v>
      </c>
      <c r="S14" s="109">
        <v>44309</v>
      </c>
      <c r="T14" s="133">
        <v>8377</v>
      </c>
      <c r="U14" s="133">
        <v>8377</v>
      </c>
      <c r="V14" s="133">
        <v>9214.7000000000007</v>
      </c>
      <c r="W14" s="110">
        <v>1499.74</v>
      </c>
      <c r="X14" s="127" t="s">
        <v>112</v>
      </c>
      <c r="Y14" s="83">
        <f t="shared" si="30"/>
        <v>690982.70890000009</v>
      </c>
      <c r="Z14" s="111">
        <f t="shared" si="1"/>
        <v>276393.08356</v>
      </c>
      <c r="AA14" s="122">
        <f>30000/26</f>
        <v>1153.8461538461538</v>
      </c>
      <c r="AB14" s="122">
        <f>40000/26</f>
        <v>1538.4615384615386</v>
      </c>
      <c r="AC14" s="127" t="s">
        <v>112</v>
      </c>
      <c r="AD14" s="111">
        <f t="shared" si="4"/>
        <v>970068.10015230777</v>
      </c>
      <c r="AE14" s="112">
        <f t="shared" si="16"/>
        <v>647.47100714287808</v>
      </c>
      <c r="AF14" s="124">
        <f>(69000/W14)/5</f>
        <v>9.2015949431234745</v>
      </c>
      <c r="AG14" s="124">
        <f>(20000/26)/W14</f>
        <v>0.51290941711948024</v>
      </c>
      <c r="AH14" s="113">
        <f t="shared" si="20"/>
        <v>11.518375000000001</v>
      </c>
      <c r="AI14" s="112">
        <f t="shared" si="12"/>
        <v>61.441983277101365</v>
      </c>
      <c r="AJ14" s="122">
        <f>7120/8</f>
        <v>890</v>
      </c>
      <c r="AK14" s="127" t="s">
        <v>112</v>
      </c>
      <c r="AL14" s="127" t="s">
        <v>112</v>
      </c>
      <c r="AM14" s="122">
        <f>(3975213.7/W14)/8</f>
        <v>331.32523804126049</v>
      </c>
      <c r="AN14" s="127" t="s">
        <v>112</v>
      </c>
      <c r="AO14" s="127" t="s">
        <v>112</v>
      </c>
      <c r="AP14" s="114">
        <f t="shared" si="17"/>
        <v>1304.0001006786047</v>
      </c>
      <c r="AQ14" s="128">
        <f t="shared" ref="AQ14" si="33">(150+350)/26</f>
        <v>19.23076923076923</v>
      </c>
      <c r="AR14" s="114">
        <f t="shared" si="18"/>
        <v>1970.701877052252</v>
      </c>
      <c r="AS14" s="122"/>
      <c r="AT14" s="59"/>
      <c r="AU14" s="59"/>
      <c r="AV14" s="59"/>
      <c r="AW14" s="59"/>
      <c r="AX14" s="59"/>
      <c r="AY14" s="59"/>
      <c r="AZ14" s="59"/>
      <c r="BA14" s="59"/>
      <c r="BB14" s="59"/>
      <c r="BC14" s="59"/>
      <c r="BD14" s="59"/>
      <c r="BE14" s="59"/>
      <c r="BF14" s="59"/>
      <c r="BG14" s="59"/>
      <c r="BH14" s="59"/>
      <c r="BI14" s="59"/>
      <c r="BJ14" s="59"/>
      <c r="BK14" s="59"/>
      <c r="BL14" s="59"/>
      <c r="BM14" s="59"/>
      <c r="BN14" s="59"/>
      <c r="BO14" s="59"/>
      <c r="BP14" s="59"/>
      <c r="BQ14" s="59"/>
      <c r="BR14" s="59"/>
      <c r="BS14" s="59"/>
      <c r="BT14" s="59"/>
      <c r="BU14" s="59"/>
      <c r="BV14" s="59"/>
    </row>
    <row r="15" spans="1:83" s="125" customFormat="1" ht="21.75" customHeight="1" x14ac:dyDescent="0.35">
      <c r="A15" s="105" t="s">
        <v>197</v>
      </c>
      <c r="B15" s="105" t="s">
        <v>151</v>
      </c>
      <c r="C15" s="129" t="s">
        <v>195</v>
      </c>
      <c r="D15" s="129" t="s">
        <v>183</v>
      </c>
      <c r="E15" s="105" t="s">
        <v>155</v>
      </c>
      <c r="F15" s="105" t="s">
        <v>177</v>
      </c>
      <c r="G15" s="130">
        <v>20120002</v>
      </c>
      <c r="H15" s="130" t="s">
        <v>185</v>
      </c>
      <c r="I15" s="131" t="s">
        <v>188</v>
      </c>
      <c r="J15" s="129" t="s">
        <v>222</v>
      </c>
      <c r="K15" s="129" t="s">
        <v>166</v>
      </c>
      <c r="L15" s="132">
        <v>1</v>
      </c>
      <c r="M15" s="132" t="s">
        <v>167</v>
      </c>
      <c r="N15" s="122"/>
      <c r="O15" s="122"/>
      <c r="P15" s="122" t="s">
        <v>111</v>
      </c>
      <c r="Q15" s="122"/>
      <c r="R15" s="122"/>
      <c r="S15" s="110"/>
      <c r="T15" s="133">
        <v>8377</v>
      </c>
      <c r="U15" s="133">
        <v>8377</v>
      </c>
      <c r="V15" s="133">
        <v>9214.7000000000007</v>
      </c>
      <c r="W15" s="110">
        <v>1499.74</v>
      </c>
      <c r="X15" s="127" t="s">
        <v>112</v>
      </c>
      <c r="Y15" s="83">
        <f t="shared" si="30"/>
        <v>690982.70890000009</v>
      </c>
      <c r="Z15" s="111">
        <f t="shared" si="1"/>
        <v>276393.08356</v>
      </c>
      <c r="AA15" s="122">
        <f t="shared" ref="AA15:AA39" si="34">30000/26</f>
        <v>1153.8461538461538</v>
      </c>
      <c r="AB15" s="122">
        <f t="shared" ref="AB15:AB39" si="35">40000/26</f>
        <v>1538.4615384615386</v>
      </c>
      <c r="AC15" s="127" t="s">
        <v>112</v>
      </c>
      <c r="AD15" s="111">
        <f t="shared" si="4"/>
        <v>970068.10015230777</v>
      </c>
      <c r="AE15" s="112">
        <f t="shared" si="16"/>
        <v>647.47100714287808</v>
      </c>
      <c r="AF15" s="124">
        <f t="shared" ref="AF15:AF18" si="36">(69000/W15)/5</f>
        <v>9.2015949431234745</v>
      </c>
      <c r="AG15" s="124">
        <f t="shared" ref="AG15:AG38" si="37">(20000/26)/W15</f>
        <v>0.51290941711948024</v>
      </c>
      <c r="AH15" s="113">
        <f t="shared" si="20"/>
        <v>11.518375000000001</v>
      </c>
      <c r="AI15" s="112">
        <f t="shared" si="12"/>
        <v>61.441983277101365</v>
      </c>
      <c r="AJ15" s="122">
        <f t="shared" ref="AJ15:AJ21" si="38">7120/8</f>
        <v>890</v>
      </c>
      <c r="AK15" s="127" t="s">
        <v>112</v>
      </c>
      <c r="AL15" s="127" t="s">
        <v>112</v>
      </c>
      <c r="AM15" s="122">
        <f t="shared" ref="AM15:AM19" si="39">(3975213.7/W15)/8</f>
        <v>331.32523804126049</v>
      </c>
      <c r="AN15" s="127" t="s">
        <v>112</v>
      </c>
      <c r="AO15" s="127" t="s">
        <v>112</v>
      </c>
      <c r="AP15" s="114">
        <f t="shared" si="17"/>
        <v>1304.0001006786047</v>
      </c>
      <c r="AQ15" s="128">
        <f>(150+350)/26</f>
        <v>19.23076923076923</v>
      </c>
      <c r="AR15" s="114">
        <f t="shared" si="18"/>
        <v>1970.701877052252</v>
      </c>
      <c r="AS15" s="122"/>
      <c r="AT15" s="59"/>
      <c r="AU15" s="59"/>
      <c r="AV15" s="59"/>
      <c r="AW15" s="59"/>
      <c r="AX15" s="59"/>
      <c r="AY15" s="59"/>
      <c r="AZ15" s="59"/>
      <c r="BA15" s="59"/>
      <c r="BB15" s="59"/>
      <c r="BC15" s="59"/>
      <c r="BD15" s="59"/>
      <c r="BE15" s="59"/>
      <c r="BF15" s="59"/>
      <c r="BG15" s="59"/>
      <c r="BH15" s="59"/>
      <c r="BI15" s="59"/>
      <c r="BJ15" s="59"/>
      <c r="BK15" s="59"/>
      <c r="BL15" s="59"/>
      <c r="BM15" s="59"/>
      <c r="BN15" s="59"/>
      <c r="BO15" s="59"/>
      <c r="BP15" s="59"/>
      <c r="BQ15" s="59"/>
      <c r="BR15" s="59"/>
      <c r="BS15" s="59"/>
      <c r="BT15" s="59"/>
      <c r="BU15" s="59"/>
      <c r="BV15" s="59"/>
    </row>
    <row r="16" spans="1:83" s="125" customFormat="1" ht="21.75" customHeight="1" x14ac:dyDescent="0.35">
      <c r="A16" s="105" t="s">
        <v>198</v>
      </c>
      <c r="B16" s="105" t="s">
        <v>151</v>
      </c>
      <c r="C16" s="129" t="s">
        <v>195</v>
      </c>
      <c r="D16" s="129" t="s">
        <v>183</v>
      </c>
      <c r="E16" s="105" t="s">
        <v>155</v>
      </c>
      <c r="F16" s="105" t="s">
        <v>177</v>
      </c>
      <c r="G16" s="130">
        <v>20120002</v>
      </c>
      <c r="H16" s="130" t="s">
        <v>185</v>
      </c>
      <c r="I16" s="131" t="s">
        <v>189</v>
      </c>
      <c r="J16" s="129" t="s">
        <v>222</v>
      </c>
      <c r="K16" s="129" t="s">
        <v>166</v>
      </c>
      <c r="L16" s="132">
        <v>1</v>
      </c>
      <c r="M16" s="132" t="s">
        <v>167</v>
      </c>
      <c r="N16" s="122"/>
      <c r="O16" s="122"/>
      <c r="P16" s="122" t="s">
        <v>111</v>
      </c>
      <c r="Q16" s="122"/>
      <c r="R16" s="122"/>
      <c r="S16" s="110"/>
      <c r="T16" s="133">
        <v>8377</v>
      </c>
      <c r="U16" s="133">
        <v>8377</v>
      </c>
      <c r="V16" s="133">
        <v>9214.7000000000007</v>
      </c>
      <c r="W16" s="110">
        <v>1499.74</v>
      </c>
      <c r="X16" s="127" t="s">
        <v>112</v>
      </c>
      <c r="Y16" s="83">
        <f t="shared" si="30"/>
        <v>690982.70890000009</v>
      </c>
      <c r="Z16" s="111">
        <f t="shared" si="1"/>
        <v>276393.08356</v>
      </c>
      <c r="AA16" s="122">
        <f t="shared" si="34"/>
        <v>1153.8461538461538</v>
      </c>
      <c r="AB16" s="122">
        <f t="shared" si="35"/>
        <v>1538.4615384615386</v>
      </c>
      <c r="AC16" s="127" t="s">
        <v>112</v>
      </c>
      <c r="AD16" s="111">
        <f t="shared" si="4"/>
        <v>970068.10015230777</v>
      </c>
      <c r="AE16" s="112">
        <f t="shared" si="16"/>
        <v>647.47100714287808</v>
      </c>
      <c r="AF16" s="124">
        <f t="shared" si="36"/>
        <v>9.2015949431234745</v>
      </c>
      <c r="AG16" s="124">
        <f t="shared" si="37"/>
        <v>0.51290941711948024</v>
      </c>
      <c r="AH16" s="113">
        <f t="shared" si="20"/>
        <v>11.518375000000001</v>
      </c>
      <c r="AI16" s="112">
        <f t="shared" si="12"/>
        <v>61.441983277101365</v>
      </c>
      <c r="AJ16" s="122">
        <f t="shared" si="38"/>
        <v>890</v>
      </c>
      <c r="AK16" s="127" t="s">
        <v>112</v>
      </c>
      <c r="AL16" s="127" t="s">
        <v>112</v>
      </c>
      <c r="AM16" s="122">
        <f t="shared" si="39"/>
        <v>331.32523804126049</v>
      </c>
      <c r="AN16" s="127" t="s">
        <v>112</v>
      </c>
      <c r="AO16" s="127" t="s">
        <v>112</v>
      </c>
      <c r="AP16" s="114">
        <f t="shared" si="17"/>
        <v>1304.0001006786047</v>
      </c>
      <c r="AQ16" s="128">
        <f t="shared" ref="AQ16:AQ39" si="40">(150+350)/26</f>
        <v>19.23076923076923</v>
      </c>
      <c r="AR16" s="114">
        <f t="shared" si="18"/>
        <v>1970.701877052252</v>
      </c>
      <c r="AS16" s="122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</row>
    <row r="17" spans="1:74" s="125" customFormat="1" ht="21.75" customHeight="1" x14ac:dyDescent="0.35">
      <c r="A17" s="105" t="s">
        <v>199</v>
      </c>
      <c r="B17" s="105" t="s">
        <v>151</v>
      </c>
      <c r="C17" s="129" t="s">
        <v>195</v>
      </c>
      <c r="D17" s="129" t="s">
        <v>183</v>
      </c>
      <c r="E17" s="105" t="s">
        <v>155</v>
      </c>
      <c r="F17" s="105" t="s">
        <v>177</v>
      </c>
      <c r="G17" s="130">
        <v>20120002</v>
      </c>
      <c r="H17" s="130" t="s">
        <v>185</v>
      </c>
      <c r="I17" s="131" t="s">
        <v>190</v>
      </c>
      <c r="J17" s="129" t="s">
        <v>222</v>
      </c>
      <c r="K17" s="129" t="s">
        <v>166</v>
      </c>
      <c r="L17" s="132">
        <v>1</v>
      </c>
      <c r="M17" s="132" t="s">
        <v>167</v>
      </c>
      <c r="N17" s="122"/>
      <c r="O17" s="122"/>
      <c r="P17" s="122" t="s">
        <v>111</v>
      </c>
      <c r="Q17" s="122"/>
      <c r="R17" s="122"/>
      <c r="S17" s="110"/>
      <c r="T17" s="133">
        <v>10060</v>
      </c>
      <c r="U17" s="133">
        <v>10060</v>
      </c>
      <c r="V17" s="133">
        <v>11066</v>
      </c>
      <c r="W17" s="110">
        <v>1499.74</v>
      </c>
      <c r="X17" s="127" t="s">
        <v>112</v>
      </c>
      <c r="Y17" s="83">
        <f t="shared" si="30"/>
        <v>829806.14199999999</v>
      </c>
      <c r="Z17" s="111">
        <f t="shared" si="1"/>
        <v>331922.45679999999</v>
      </c>
      <c r="AA17" s="122">
        <f t="shared" si="34"/>
        <v>1153.8461538461538</v>
      </c>
      <c r="AB17" s="122">
        <f t="shared" si="35"/>
        <v>1538.4615384615386</v>
      </c>
      <c r="AC17" s="127" t="s">
        <v>112</v>
      </c>
      <c r="AD17" s="111">
        <f t="shared" si="4"/>
        <v>1164420.9064923078</v>
      </c>
      <c r="AE17" s="112">
        <f t="shared" si="16"/>
        <v>777.19159814287809</v>
      </c>
      <c r="AF17" s="124">
        <f t="shared" si="36"/>
        <v>9.2015949431234745</v>
      </c>
      <c r="AG17" s="124">
        <f t="shared" si="37"/>
        <v>0.51290941711948024</v>
      </c>
      <c r="AH17" s="113">
        <f t="shared" si="20"/>
        <v>13.8325</v>
      </c>
      <c r="AI17" s="112">
        <f t="shared" si="12"/>
        <v>73.786122927974176</v>
      </c>
      <c r="AJ17" s="122">
        <f t="shared" si="38"/>
        <v>890</v>
      </c>
      <c r="AK17" s="127" t="s">
        <v>112</v>
      </c>
      <c r="AL17" s="127" t="s">
        <v>112</v>
      </c>
      <c r="AM17" s="122">
        <f t="shared" si="39"/>
        <v>331.32523804126049</v>
      </c>
      <c r="AN17" s="127" t="s">
        <v>112</v>
      </c>
      <c r="AO17" s="127" t="s">
        <v>112</v>
      </c>
      <c r="AP17" s="114">
        <f t="shared" si="17"/>
        <v>1318.6583653294776</v>
      </c>
      <c r="AQ17" s="128">
        <f t="shared" si="40"/>
        <v>19.23076923076923</v>
      </c>
      <c r="AR17" s="114">
        <f t="shared" si="18"/>
        <v>2115.0807327031248</v>
      </c>
      <c r="AS17" s="122"/>
      <c r="AT17" s="59"/>
      <c r="AU17" s="59"/>
      <c r="AV17" s="59"/>
      <c r="AW17" s="59"/>
      <c r="AX17" s="59"/>
      <c r="AY17" s="59"/>
      <c r="AZ17" s="59"/>
      <c r="BA17" s="59"/>
      <c r="BB17" s="59"/>
      <c r="BC17" s="59"/>
      <c r="BD17" s="59"/>
      <c r="BE17" s="59"/>
      <c r="BF17" s="59"/>
      <c r="BG17" s="59"/>
      <c r="BH17" s="59"/>
      <c r="BI17" s="59"/>
      <c r="BJ17" s="59"/>
      <c r="BK17" s="59"/>
      <c r="BL17" s="59"/>
      <c r="BM17" s="59"/>
      <c r="BN17" s="59"/>
      <c r="BO17" s="59"/>
      <c r="BP17" s="59"/>
      <c r="BQ17" s="59"/>
      <c r="BR17" s="59"/>
      <c r="BS17" s="59"/>
      <c r="BT17" s="59"/>
      <c r="BU17" s="59"/>
      <c r="BV17" s="59"/>
    </row>
    <row r="18" spans="1:74" s="125" customFormat="1" ht="21.75" customHeight="1" x14ac:dyDescent="0.35">
      <c r="A18" s="105" t="s">
        <v>200</v>
      </c>
      <c r="B18" s="105" t="s">
        <v>151</v>
      </c>
      <c r="C18" s="129" t="s">
        <v>195</v>
      </c>
      <c r="D18" s="129" t="s">
        <v>183</v>
      </c>
      <c r="E18" s="105" t="s">
        <v>155</v>
      </c>
      <c r="F18" s="105" t="s">
        <v>177</v>
      </c>
      <c r="G18" s="130">
        <v>20120002</v>
      </c>
      <c r="H18" s="130" t="s">
        <v>185</v>
      </c>
      <c r="I18" s="131" t="s">
        <v>191</v>
      </c>
      <c r="J18" s="129" t="s">
        <v>222</v>
      </c>
      <c r="K18" s="129" t="s">
        <v>166</v>
      </c>
      <c r="L18" s="132">
        <v>1</v>
      </c>
      <c r="M18" s="132" t="s">
        <v>167</v>
      </c>
      <c r="N18" s="122"/>
      <c r="O18" s="122"/>
      <c r="P18" s="122" t="s">
        <v>111</v>
      </c>
      <c r="Q18" s="122"/>
      <c r="R18" s="122"/>
      <c r="S18" s="110"/>
      <c r="T18" s="133">
        <v>10060</v>
      </c>
      <c r="U18" s="133">
        <v>10060</v>
      </c>
      <c r="V18" s="133">
        <v>11066</v>
      </c>
      <c r="W18" s="110">
        <v>1499.74</v>
      </c>
      <c r="X18" s="127" t="s">
        <v>112</v>
      </c>
      <c r="Y18" s="83">
        <f t="shared" si="30"/>
        <v>829806.14199999999</v>
      </c>
      <c r="Z18" s="111">
        <f t="shared" si="1"/>
        <v>331922.45679999999</v>
      </c>
      <c r="AA18" s="122">
        <f t="shared" si="34"/>
        <v>1153.8461538461538</v>
      </c>
      <c r="AB18" s="122">
        <f t="shared" si="35"/>
        <v>1538.4615384615386</v>
      </c>
      <c r="AC18" s="127" t="s">
        <v>112</v>
      </c>
      <c r="AD18" s="111">
        <f t="shared" si="4"/>
        <v>1164420.9064923078</v>
      </c>
      <c r="AE18" s="112">
        <f t="shared" si="16"/>
        <v>777.19159814287809</v>
      </c>
      <c r="AF18" s="124">
        <f t="shared" si="36"/>
        <v>9.2015949431234745</v>
      </c>
      <c r="AG18" s="124">
        <f t="shared" si="37"/>
        <v>0.51290941711948024</v>
      </c>
      <c r="AH18" s="113">
        <f t="shared" si="20"/>
        <v>13.8325</v>
      </c>
      <c r="AI18" s="112">
        <f t="shared" si="12"/>
        <v>73.786122927974176</v>
      </c>
      <c r="AJ18" s="122">
        <f t="shared" si="38"/>
        <v>890</v>
      </c>
      <c r="AK18" s="127" t="s">
        <v>112</v>
      </c>
      <c r="AL18" s="127" t="s">
        <v>112</v>
      </c>
      <c r="AM18" s="122">
        <f t="shared" si="39"/>
        <v>331.32523804126049</v>
      </c>
      <c r="AN18" s="127" t="s">
        <v>112</v>
      </c>
      <c r="AO18" s="127" t="s">
        <v>112</v>
      </c>
      <c r="AP18" s="114">
        <f t="shared" si="17"/>
        <v>1318.6583653294776</v>
      </c>
      <c r="AQ18" s="128">
        <f t="shared" si="40"/>
        <v>19.23076923076923</v>
      </c>
      <c r="AR18" s="114">
        <f t="shared" si="18"/>
        <v>2115.0807327031248</v>
      </c>
      <c r="AS18" s="122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</row>
    <row r="19" spans="1:74" s="125" customFormat="1" ht="21.75" customHeight="1" x14ac:dyDescent="0.35">
      <c r="A19" s="105" t="s">
        <v>201</v>
      </c>
      <c r="B19" s="105" t="s">
        <v>151</v>
      </c>
      <c r="C19" s="129" t="s">
        <v>195</v>
      </c>
      <c r="D19" s="129" t="s">
        <v>183</v>
      </c>
      <c r="E19" s="105" t="s">
        <v>155</v>
      </c>
      <c r="F19" s="105" t="s">
        <v>177</v>
      </c>
      <c r="G19" s="130">
        <v>20120002</v>
      </c>
      <c r="H19" s="130" t="s">
        <v>185</v>
      </c>
      <c r="I19" s="131" t="s">
        <v>192</v>
      </c>
      <c r="J19" s="129" t="s">
        <v>222</v>
      </c>
      <c r="K19" s="129" t="s">
        <v>166</v>
      </c>
      <c r="L19" s="132">
        <v>1</v>
      </c>
      <c r="M19" s="132" t="s">
        <v>167</v>
      </c>
      <c r="N19" s="122"/>
      <c r="O19" s="122"/>
      <c r="P19" s="122" t="s">
        <v>111</v>
      </c>
      <c r="Q19" s="122"/>
      <c r="R19" s="122"/>
      <c r="S19" s="110"/>
      <c r="T19" s="133">
        <v>10060</v>
      </c>
      <c r="U19" s="133">
        <v>10060</v>
      </c>
      <c r="V19" s="133">
        <v>11066</v>
      </c>
      <c r="W19" s="110">
        <v>1499.74</v>
      </c>
      <c r="X19" s="127" t="s">
        <v>112</v>
      </c>
      <c r="Y19" s="83">
        <f t="shared" si="30"/>
        <v>829806.14199999999</v>
      </c>
      <c r="Z19" s="111">
        <f t="shared" si="1"/>
        <v>331922.45679999999</v>
      </c>
      <c r="AA19" s="122">
        <f t="shared" si="34"/>
        <v>1153.8461538461538</v>
      </c>
      <c r="AB19" s="122">
        <f t="shared" si="35"/>
        <v>1538.4615384615386</v>
      </c>
      <c r="AC19" s="127" t="s">
        <v>112</v>
      </c>
      <c r="AD19" s="111">
        <f t="shared" si="4"/>
        <v>1164420.9064923078</v>
      </c>
      <c r="AE19" s="112">
        <f t="shared" si="16"/>
        <v>777.19159814287809</v>
      </c>
      <c r="AF19" s="124">
        <f t="shared" ref="AF19:AF21" si="41">(69000/W19)/3</f>
        <v>15.335991571872457</v>
      </c>
      <c r="AG19" s="124">
        <f t="shared" si="37"/>
        <v>0.51290941711948024</v>
      </c>
      <c r="AH19" s="113">
        <f t="shared" si="20"/>
        <v>13.8325</v>
      </c>
      <c r="AI19" s="112">
        <f t="shared" si="12"/>
        <v>73.786122927974176</v>
      </c>
      <c r="AJ19" s="122">
        <f t="shared" si="38"/>
        <v>890</v>
      </c>
      <c r="AK19" s="127" t="s">
        <v>112</v>
      </c>
      <c r="AL19" s="127" t="s">
        <v>112</v>
      </c>
      <c r="AM19" s="122">
        <f t="shared" si="39"/>
        <v>331.32523804126049</v>
      </c>
      <c r="AN19" s="127" t="s">
        <v>112</v>
      </c>
      <c r="AO19" s="127" t="s">
        <v>112</v>
      </c>
      <c r="AP19" s="114">
        <f t="shared" si="17"/>
        <v>1324.7927619582265</v>
      </c>
      <c r="AQ19" s="128">
        <f t="shared" si="40"/>
        <v>19.23076923076923</v>
      </c>
      <c r="AR19" s="114">
        <f t="shared" si="18"/>
        <v>2121.2151293318734</v>
      </c>
      <c r="AS19" s="122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</row>
    <row r="20" spans="1:74" s="125" customFormat="1" ht="21.75" customHeight="1" x14ac:dyDescent="0.35">
      <c r="A20" s="105" t="s">
        <v>202</v>
      </c>
      <c r="B20" s="105" t="s">
        <v>151</v>
      </c>
      <c r="C20" s="129" t="s">
        <v>195</v>
      </c>
      <c r="D20" s="129" t="s">
        <v>183</v>
      </c>
      <c r="E20" s="105" t="s">
        <v>155</v>
      </c>
      <c r="F20" s="105" t="s">
        <v>177</v>
      </c>
      <c r="G20" s="130">
        <v>20120002</v>
      </c>
      <c r="H20" s="130" t="s">
        <v>185</v>
      </c>
      <c r="I20" s="131" t="s">
        <v>193</v>
      </c>
      <c r="J20" s="129" t="s">
        <v>222</v>
      </c>
      <c r="K20" s="129" t="s">
        <v>166</v>
      </c>
      <c r="L20" s="132">
        <v>1</v>
      </c>
      <c r="M20" s="132" t="s">
        <v>167</v>
      </c>
      <c r="N20" s="122"/>
      <c r="O20" s="122"/>
      <c r="P20" s="122" t="s">
        <v>111</v>
      </c>
      <c r="Q20" s="122"/>
      <c r="R20" s="122"/>
      <c r="S20" s="110"/>
      <c r="T20" s="133">
        <v>10060</v>
      </c>
      <c r="U20" s="133">
        <v>10060</v>
      </c>
      <c r="V20" s="133">
        <v>11066</v>
      </c>
      <c r="W20" s="110">
        <v>1499.74</v>
      </c>
      <c r="X20" s="127" t="s">
        <v>112</v>
      </c>
      <c r="Y20" s="83">
        <f t="shared" si="30"/>
        <v>829806.14199999999</v>
      </c>
      <c r="Z20" s="111">
        <f t="shared" si="1"/>
        <v>331922.45679999999</v>
      </c>
      <c r="AA20" s="122">
        <f t="shared" si="34"/>
        <v>1153.8461538461538</v>
      </c>
      <c r="AB20" s="122">
        <f t="shared" si="35"/>
        <v>1538.4615384615386</v>
      </c>
      <c r="AC20" s="127" t="s">
        <v>112</v>
      </c>
      <c r="AD20" s="111">
        <f t="shared" si="4"/>
        <v>1164420.9064923078</v>
      </c>
      <c r="AE20" s="112">
        <f t="shared" si="16"/>
        <v>777.19159814287809</v>
      </c>
      <c r="AF20" s="124">
        <f t="shared" si="41"/>
        <v>15.335991571872457</v>
      </c>
      <c r="AG20" s="124">
        <f t="shared" si="37"/>
        <v>0.51290941711948024</v>
      </c>
      <c r="AH20" s="113">
        <f t="shared" si="20"/>
        <v>13.8325</v>
      </c>
      <c r="AI20" s="112">
        <f t="shared" si="12"/>
        <v>73.786122927974176</v>
      </c>
      <c r="AJ20" s="122">
        <f t="shared" si="38"/>
        <v>890</v>
      </c>
      <c r="AK20" s="127" t="s">
        <v>112</v>
      </c>
      <c r="AL20" s="127" t="s">
        <v>112</v>
      </c>
      <c r="AM20" s="122">
        <f>(3975213.7/W20)/8</f>
        <v>331.32523804126049</v>
      </c>
      <c r="AN20" s="127" t="s">
        <v>112</v>
      </c>
      <c r="AO20" s="127" t="s">
        <v>112</v>
      </c>
      <c r="AP20" s="114">
        <f t="shared" si="17"/>
        <v>1324.7927619582265</v>
      </c>
      <c r="AQ20" s="128">
        <f t="shared" si="40"/>
        <v>19.23076923076923</v>
      </c>
      <c r="AR20" s="114">
        <f t="shared" si="18"/>
        <v>2121.2151293318734</v>
      </c>
      <c r="AS20" s="122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  <c r="BE20" s="59"/>
      <c r="BF20" s="59"/>
      <c r="BG20" s="59"/>
      <c r="BH20" s="59"/>
      <c r="BI20" s="59"/>
      <c r="BJ20" s="59"/>
      <c r="BK20" s="59"/>
      <c r="BL20" s="59"/>
      <c r="BM20" s="59"/>
      <c r="BN20" s="59"/>
      <c r="BO20" s="59"/>
      <c r="BP20" s="59"/>
      <c r="BQ20" s="59"/>
      <c r="BR20" s="59"/>
      <c r="BS20" s="59"/>
      <c r="BT20" s="59"/>
      <c r="BU20" s="59"/>
      <c r="BV20" s="59"/>
    </row>
    <row r="21" spans="1:74" s="125" customFormat="1" ht="21.75" customHeight="1" x14ac:dyDescent="0.35">
      <c r="A21" s="105" t="s">
        <v>203</v>
      </c>
      <c r="B21" s="105" t="s">
        <v>151</v>
      </c>
      <c r="C21" s="129" t="s">
        <v>195</v>
      </c>
      <c r="D21" s="129" t="s">
        <v>183</v>
      </c>
      <c r="E21" s="105" t="s">
        <v>155</v>
      </c>
      <c r="F21" s="105" t="s">
        <v>177</v>
      </c>
      <c r="G21" s="130">
        <v>20120002</v>
      </c>
      <c r="H21" s="130" t="s">
        <v>185</v>
      </c>
      <c r="I21" s="131" t="s">
        <v>194</v>
      </c>
      <c r="J21" s="129" t="s">
        <v>222</v>
      </c>
      <c r="K21" s="129" t="s">
        <v>166</v>
      </c>
      <c r="L21" s="132">
        <v>1</v>
      </c>
      <c r="M21" s="132" t="s">
        <v>167</v>
      </c>
      <c r="N21" s="122"/>
      <c r="O21" s="122"/>
      <c r="P21" s="122" t="s">
        <v>111</v>
      </c>
      <c r="Q21" s="122"/>
      <c r="R21" s="122"/>
      <c r="S21" s="110"/>
      <c r="T21" s="133">
        <v>10060</v>
      </c>
      <c r="U21" s="133">
        <v>10060</v>
      </c>
      <c r="V21" s="133">
        <v>11066</v>
      </c>
      <c r="W21" s="110">
        <v>1499.74</v>
      </c>
      <c r="X21" s="127" t="s">
        <v>112</v>
      </c>
      <c r="Y21" s="83">
        <f t="shared" si="30"/>
        <v>829806.14199999999</v>
      </c>
      <c r="Z21" s="111">
        <f t="shared" si="1"/>
        <v>331922.45679999999</v>
      </c>
      <c r="AA21" s="122">
        <f t="shared" si="34"/>
        <v>1153.8461538461538</v>
      </c>
      <c r="AB21" s="122">
        <f t="shared" si="35"/>
        <v>1538.4615384615386</v>
      </c>
      <c r="AC21" s="127" t="s">
        <v>112</v>
      </c>
      <c r="AD21" s="111">
        <f t="shared" si="4"/>
        <v>1164420.9064923078</v>
      </c>
      <c r="AE21" s="112">
        <f t="shared" si="16"/>
        <v>777.19159814287809</v>
      </c>
      <c r="AF21" s="124">
        <f t="shared" si="41"/>
        <v>15.335991571872457</v>
      </c>
      <c r="AG21" s="124">
        <f t="shared" si="37"/>
        <v>0.51290941711948024</v>
      </c>
      <c r="AH21" s="113">
        <f t="shared" si="20"/>
        <v>13.8325</v>
      </c>
      <c r="AI21" s="112">
        <f t="shared" si="12"/>
        <v>73.786122927974176</v>
      </c>
      <c r="AJ21" s="122">
        <f t="shared" si="38"/>
        <v>890</v>
      </c>
      <c r="AK21" s="127" t="s">
        <v>112</v>
      </c>
      <c r="AL21" s="127" t="s">
        <v>112</v>
      </c>
      <c r="AM21" s="122">
        <f t="shared" ref="AM21" si="42">(3975213.7/W21)/8</f>
        <v>331.32523804126049</v>
      </c>
      <c r="AN21" s="127" t="s">
        <v>112</v>
      </c>
      <c r="AO21" s="127" t="s">
        <v>112</v>
      </c>
      <c r="AP21" s="114">
        <f t="shared" si="17"/>
        <v>1324.7927619582265</v>
      </c>
      <c r="AQ21" s="128">
        <f t="shared" si="40"/>
        <v>19.23076923076923</v>
      </c>
      <c r="AR21" s="114">
        <f t="shared" si="18"/>
        <v>2121.2151293318734</v>
      </c>
      <c r="AS21" s="122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</row>
    <row r="22" spans="1:74" s="125" customFormat="1" ht="21.75" customHeight="1" x14ac:dyDescent="0.35">
      <c r="A22" s="105" t="s">
        <v>204</v>
      </c>
      <c r="B22" s="105" t="s">
        <v>151</v>
      </c>
      <c r="C22" s="129" t="s">
        <v>195</v>
      </c>
      <c r="D22" s="129" t="s">
        <v>184</v>
      </c>
      <c r="E22" s="105" t="s">
        <v>155</v>
      </c>
      <c r="F22" s="105" t="s">
        <v>177</v>
      </c>
      <c r="G22" s="129">
        <v>20120007</v>
      </c>
      <c r="H22" s="130" t="s">
        <v>186</v>
      </c>
      <c r="I22" s="127" t="s">
        <v>161</v>
      </c>
      <c r="J22" s="129" t="s">
        <v>222</v>
      </c>
      <c r="K22" s="129" t="s">
        <v>166</v>
      </c>
      <c r="L22" s="132">
        <v>1</v>
      </c>
      <c r="M22" s="132" t="s">
        <v>167</v>
      </c>
      <c r="N22" s="122"/>
      <c r="O22" s="122"/>
      <c r="P22" s="122" t="s">
        <v>111</v>
      </c>
      <c r="Q22" s="122"/>
      <c r="R22" s="122"/>
      <c r="S22" s="110"/>
      <c r="T22" s="133">
        <v>125</v>
      </c>
      <c r="U22" s="133">
        <v>125</v>
      </c>
      <c r="V22" s="133">
        <v>137.5</v>
      </c>
      <c r="W22" s="110">
        <v>1499.74</v>
      </c>
      <c r="X22" s="127" t="s">
        <v>112</v>
      </c>
      <c r="Y22" s="83">
        <f t="shared" si="30"/>
        <v>10310.712500000001</v>
      </c>
      <c r="Z22" s="111">
        <f t="shared" si="1"/>
        <v>4124.2849999999999</v>
      </c>
      <c r="AA22" s="122">
        <f t="shared" si="34"/>
        <v>1153.8461538461538</v>
      </c>
      <c r="AB22" s="122">
        <f t="shared" si="35"/>
        <v>1538.4615384615386</v>
      </c>
      <c r="AC22" s="127" t="s">
        <v>112</v>
      </c>
      <c r="AD22" s="111">
        <f t="shared" si="4"/>
        <v>17127.305192307693</v>
      </c>
      <c r="AE22" s="112">
        <f t="shared" si="16"/>
        <v>11.4316031428781</v>
      </c>
      <c r="AF22" s="124">
        <f t="shared" ref="AF22:AF39" si="43">(69000/W22)/18</f>
        <v>2.5559985953120763</v>
      </c>
      <c r="AG22" s="124">
        <f t="shared" si="37"/>
        <v>0.51290941711948024</v>
      </c>
      <c r="AH22" s="113">
        <f t="shared" si="20"/>
        <v>0.171875</v>
      </c>
      <c r="AI22" s="112">
        <f t="shared" si="12"/>
        <v>0.91682558310107087</v>
      </c>
      <c r="AJ22" s="127" t="s">
        <v>112</v>
      </c>
      <c r="AK22" s="122">
        <f>172.35/18</f>
        <v>9.5749999999999993</v>
      </c>
      <c r="AL22" s="127" t="s">
        <v>112</v>
      </c>
      <c r="AM22" s="122">
        <f>(119024/W22)/18</f>
        <v>4.4090605334554285</v>
      </c>
      <c r="AN22" s="127" t="s">
        <v>112</v>
      </c>
      <c r="AO22" s="127" t="s">
        <v>112</v>
      </c>
      <c r="AP22" s="114">
        <f t="shared" si="17"/>
        <v>18.141669128988056</v>
      </c>
      <c r="AQ22" s="128">
        <f t="shared" si="40"/>
        <v>19.23076923076923</v>
      </c>
      <c r="AR22" s="114">
        <f t="shared" si="18"/>
        <v>48.804041502635386</v>
      </c>
      <c r="AS22" s="122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</row>
    <row r="23" spans="1:74" s="125" customFormat="1" ht="21.75" customHeight="1" x14ac:dyDescent="0.35">
      <c r="A23" s="105" t="s">
        <v>205</v>
      </c>
      <c r="B23" s="105" t="s">
        <v>151</v>
      </c>
      <c r="C23" s="129" t="s">
        <v>195</v>
      </c>
      <c r="D23" s="129" t="s">
        <v>184</v>
      </c>
      <c r="E23" s="105" t="s">
        <v>155</v>
      </c>
      <c r="F23" s="105" t="s">
        <v>177</v>
      </c>
      <c r="G23" s="129">
        <v>20120007</v>
      </c>
      <c r="H23" s="130" t="s">
        <v>186</v>
      </c>
      <c r="I23" s="127" t="s">
        <v>161</v>
      </c>
      <c r="J23" s="129" t="s">
        <v>222</v>
      </c>
      <c r="K23" s="129" t="s">
        <v>166</v>
      </c>
      <c r="L23" s="132">
        <v>1</v>
      </c>
      <c r="M23" s="132" t="s">
        <v>167</v>
      </c>
      <c r="N23" s="122"/>
      <c r="O23" s="122"/>
      <c r="P23" s="122" t="s">
        <v>111</v>
      </c>
      <c r="Q23" s="122"/>
      <c r="R23" s="122"/>
      <c r="S23" s="110"/>
      <c r="T23" s="133">
        <v>125</v>
      </c>
      <c r="U23" s="133">
        <v>125</v>
      </c>
      <c r="V23" s="133">
        <v>137.5</v>
      </c>
      <c r="W23" s="110">
        <v>1499.74</v>
      </c>
      <c r="X23" s="127" t="s">
        <v>112</v>
      </c>
      <c r="Y23" s="83">
        <f t="shared" si="30"/>
        <v>10310.712500000001</v>
      </c>
      <c r="Z23" s="111">
        <f t="shared" si="1"/>
        <v>4124.2849999999999</v>
      </c>
      <c r="AA23" s="122">
        <f t="shared" si="34"/>
        <v>1153.8461538461538</v>
      </c>
      <c r="AB23" s="122">
        <f t="shared" si="35"/>
        <v>1538.4615384615386</v>
      </c>
      <c r="AC23" s="127" t="s">
        <v>112</v>
      </c>
      <c r="AD23" s="111">
        <f t="shared" si="4"/>
        <v>17127.305192307693</v>
      </c>
      <c r="AE23" s="112">
        <f t="shared" si="16"/>
        <v>11.4316031428781</v>
      </c>
      <c r="AF23" s="124">
        <f t="shared" si="43"/>
        <v>2.5559985953120763</v>
      </c>
      <c r="AG23" s="124">
        <f t="shared" si="37"/>
        <v>0.51290941711948024</v>
      </c>
      <c r="AH23" s="113">
        <f t="shared" si="20"/>
        <v>0.171875</v>
      </c>
      <c r="AI23" s="112">
        <f t="shared" si="12"/>
        <v>0.91682558310107087</v>
      </c>
      <c r="AJ23" s="127" t="s">
        <v>112</v>
      </c>
      <c r="AK23" s="122">
        <f>172.35/18</f>
        <v>9.5749999999999993</v>
      </c>
      <c r="AL23" s="127" t="s">
        <v>112</v>
      </c>
      <c r="AM23" s="122">
        <f t="shared" ref="AM23:AM39" si="44">(119024/W23)/18</f>
        <v>4.4090605334554285</v>
      </c>
      <c r="AN23" s="127" t="s">
        <v>112</v>
      </c>
      <c r="AO23" s="127" t="s">
        <v>112</v>
      </c>
      <c r="AP23" s="114">
        <f t="shared" si="17"/>
        <v>18.141669128988056</v>
      </c>
      <c r="AQ23" s="128">
        <f t="shared" si="40"/>
        <v>19.23076923076923</v>
      </c>
      <c r="AR23" s="114">
        <f t="shared" si="18"/>
        <v>48.804041502635386</v>
      </c>
      <c r="AS23" s="122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</row>
    <row r="24" spans="1:74" s="125" customFormat="1" ht="21.75" customHeight="1" x14ac:dyDescent="0.35">
      <c r="A24" s="105" t="s">
        <v>206</v>
      </c>
      <c r="B24" s="105" t="s">
        <v>151</v>
      </c>
      <c r="C24" s="129" t="s">
        <v>195</v>
      </c>
      <c r="D24" s="129" t="s">
        <v>184</v>
      </c>
      <c r="E24" s="105" t="s">
        <v>155</v>
      </c>
      <c r="F24" s="105" t="s">
        <v>177</v>
      </c>
      <c r="G24" s="129">
        <v>20120007</v>
      </c>
      <c r="H24" s="130" t="s">
        <v>186</v>
      </c>
      <c r="I24" s="127" t="s">
        <v>161</v>
      </c>
      <c r="J24" s="129" t="s">
        <v>222</v>
      </c>
      <c r="K24" s="129" t="s">
        <v>166</v>
      </c>
      <c r="L24" s="132">
        <v>1</v>
      </c>
      <c r="M24" s="132" t="s">
        <v>167</v>
      </c>
      <c r="N24" s="122"/>
      <c r="O24" s="122"/>
      <c r="P24" s="122" t="s">
        <v>111</v>
      </c>
      <c r="Q24" s="122"/>
      <c r="R24" s="122"/>
      <c r="S24" s="110"/>
      <c r="T24" s="133">
        <v>125</v>
      </c>
      <c r="U24" s="133">
        <v>125</v>
      </c>
      <c r="V24" s="133">
        <v>137.5</v>
      </c>
      <c r="W24" s="110">
        <v>1499.74</v>
      </c>
      <c r="X24" s="127" t="s">
        <v>112</v>
      </c>
      <c r="Y24" s="83">
        <f t="shared" si="30"/>
        <v>10310.712500000001</v>
      </c>
      <c r="Z24" s="111">
        <f t="shared" si="1"/>
        <v>4124.2849999999999</v>
      </c>
      <c r="AA24" s="122">
        <f t="shared" si="34"/>
        <v>1153.8461538461538</v>
      </c>
      <c r="AB24" s="122">
        <f t="shared" si="35"/>
        <v>1538.4615384615386</v>
      </c>
      <c r="AC24" s="127" t="s">
        <v>112</v>
      </c>
      <c r="AD24" s="111">
        <f t="shared" si="4"/>
        <v>17127.305192307693</v>
      </c>
      <c r="AE24" s="112">
        <f t="shared" si="16"/>
        <v>11.4316031428781</v>
      </c>
      <c r="AF24" s="124">
        <f t="shared" si="43"/>
        <v>2.5559985953120763</v>
      </c>
      <c r="AG24" s="124">
        <f t="shared" si="37"/>
        <v>0.51290941711948024</v>
      </c>
      <c r="AH24" s="113">
        <f t="shared" si="20"/>
        <v>0.171875</v>
      </c>
      <c r="AI24" s="112">
        <f t="shared" si="12"/>
        <v>0.91682558310107087</v>
      </c>
      <c r="AJ24" s="127" t="s">
        <v>112</v>
      </c>
      <c r="AK24" s="122">
        <f t="shared" ref="AK24:AK38" si="45">172.35/18</f>
        <v>9.5749999999999993</v>
      </c>
      <c r="AL24" s="127" t="s">
        <v>112</v>
      </c>
      <c r="AM24" s="122">
        <f t="shared" si="44"/>
        <v>4.4090605334554285</v>
      </c>
      <c r="AN24" s="127" t="s">
        <v>112</v>
      </c>
      <c r="AO24" s="127" t="s">
        <v>112</v>
      </c>
      <c r="AP24" s="114">
        <f t="shared" si="17"/>
        <v>18.141669128988056</v>
      </c>
      <c r="AQ24" s="128">
        <f t="shared" si="40"/>
        <v>19.23076923076923</v>
      </c>
      <c r="AR24" s="114">
        <f t="shared" si="18"/>
        <v>48.804041502635386</v>
      </c>
      <c r="AS24" s="122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</row>
    <row r="25" spans="1:74" s="125" customFormat="1" ht="21.75" customHeight="1" x14ac:dyDescent="0.35">
      <c r="A25" s="105" t="s">
        <v>207</v>
      </c>
      <c r="B25" s="105" t="s">
        <v>151</v>
      </c>
      <c r="C25" s="129" t="s">
        <v>195</v>
      </c>
      <c r="D25" s="129" t="s">
        <v>184</v>
      </c>
      <c r="E25" s="105" t="s">
        <v>155</v>
      </c>
      <c r="F25" s="105" t="s">
        <v>177</v>
      </c>
      <c r="G25" s="129">
        <v>20120007</v>
      </c>
      <c r="H25" s="130" t="s">
        <v>186</v>
      </c>
      <c r="I25" s="127" t="s">
        <v>161</v>
      </c>
      <c r="J25" s="129" t="s">
        <v>222</v>
      </c>
      <c r="K25" s="129" t="s">
        <v>166</v>
      </c>
      <c r="L25" s="132">
        <v>1</v>
      </c>
      <c r="M25" s="132" t="s">
        <v>167</v>
      </c>
      <c r="N25" s="122"/>
      <c r="O25" s="122"/>
      <c r="P25" s="122" t="s">
        <v>111</v>
      </c>
      <c r="Q25" s="122"/>
      <c r="R25" s="122"/>
      <c r="S25" s="110"/>
      <c r="T25" s="133">
        <v>125</v>
      </c>
      <c r="U25" s="133">
        <v>125</v>
      </c>
      <c r="V25" s="133">
        <v>137.5</v>
      </c>
      <c r="W25" s="110">
        <v>1499.74</v>
      </c>
      <c r="X25" s="127" t="s">
        <v>112</v>
      </c>
      <c r="Y25" s="83">
        <f t="shared" si="30"/>
        <v>10310.712500000001</v>
      </c>
      <c r="Z25" s="111">
        <f t="shared" si="1"/>
        <v>4124.2849999999999</v>
      </c>
      <c r="AA25" s="122">
        <f t="shared" si="34"/>
        <v>1153.8461538461538</v>
      </c>
      <c r="AB25" s="122">
        <f t="shared" si="35"/>
        <v>1538.4615384615386</v>
      </c>
      <c r="AC25" s="127" t="s">
        <v>112</v>
      </c>
      <c r="AD25" s="111">
        <f t="shared" si="4"/>
        <v>17127.305192307693</v>
      </c>
      <c r="AE25" s="112">
        <f t="shared" si="16"/>
        <v>11.4316031428781</v>
      </c>
      <c r="AF25" s="124">
        <f t="shared" si="43"/>
        <v>2.5559985953120763</v>
      </c>
      <c r="AG25" s="124">
        <f t="shared" si="37"/>
        <v>0.51290941711948024</v>
      </c>
      <c r="AH25" s="113">
        <f t="shared" si="20"/>
        <v>0.171875</v>
      </c>
      <c r="AI25" s="112">
        <f t="shared" si="12"/>
        <v>0.91682558310107087</v>
      </c>
      <c r="AJ25" s="127" t="s">
        <v>112</v>
      </c>
      <c r="AK25" s="122">
        <f t="shared" si="45"/>
        <v>9.5749999999999993</v>
      </c>
      <c r="AL25" s="127" t="s">
        <v>112</v>
      </c>
      <c r="AM25" s="122">
        <f t="shared" si="44"/>
        <v>4.4090605334554285</v>
      </c>
      <c r="AN25" s="127" t="s">
        <v>112</v>
      </c>
      <c r="AO25" s="127" t="s">
        <v>112</v>
      </c>
      <c r="AP25" s="114">
        <f t="shared" si="17"/>
        <v>18.141669128988056</v>
      </c>
      <c r="AQ25" s="128">
        <f t="shared" si="40"/>
        <v>19.23076923076923</v>
      </c>
      <c r="AR25" s="114">
        <f t="shared" si="18"/>
        <v>48.804041502635386</v>
      </c>
      <c r="AS25" s="122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</row>
    <row r="26" spans="1:74" s="125" customFormat="1" ht="21.75" customHeight="1" x14ac:dyDescent="0.35">
      <c r="A26" s="105" t="s">
        <v>208</v>
      </c>
      <c r="B26" s="105" t="s">
        <v>151</v>
      </c>
      <c r="C26" s="129" t="s">
        <v>195</v>
      </c>
      <c r="D26" s="129" t="s">
        <v>184</v>
      </c>
      <c r="E26" s="105" t="s">
        <v>155</v>
      </c>
      <c r="F26" s="105" t="s">
        <v>177</v>
      </c>
      <c r="G26" s="129">
        <v>20120007</v>
      </c>
      <c r="H26" s="130" t="s">
        <v>186</v>
      </c>
      <c r="I26" s="127" t="s">
        <v>161</v>
      </c>
      <c r="J26" s="129" t="s">
        <v>222</v>
      </c>
      <c r="K26" s="129" t="s">
        <v>166</v>
      </c>
      <c r="L26" s="132">
        <v>1</v>
      </c>
      <c r="M26" s="132" t="s">
        <v>167</v>
      </c>
      <c r="N26" s="122"/>
      <c r="O26" s="122"/>
      <c r="P26" s="122" t="s">
        <v>111</v>
      </c>
      <c r="Q26" s="122"/>
      <c r="R26" s="122"/>
      <c r="S26" s="110"/>
      <c r="T26" s="133">
        <v>125</v>
      </c>
      <c r="U26" s="133">
        <v>125</v>
      </c>
      <c r="V26" s="133">
        <v>137.5</v>
      </c>
      <c r="W26" s="110">
        <v>1499.74</v>
      </c>
      <c r="X26" s="127" t="s">
        <v>112</v>
      </c>
      <c r="Y26" s="83">
        <f t="shared" si="30"/>
        <v>10310.712500000001</v>
      </c>
      <c r="Z26" s="111">
        <f t="shared" si="1"/>
        <v>4124.2849999999999</v>
      </c>
      <c r="AA26" s="122">
        <f t="shared" si="34"/>
        <v>1153.8461538461538</v>
      </c>
      <c r="AB26" s="122">
        <f t="shared" si="35"/>
        <v>1538.4615384615386</v>
      </c>
      <c r="AC26" s="127" t="s">
        <v>112</v>
      </c>
      <c r="AD26" s="111">
        <f t="shared" si="4"/>
        <v>17127.305192307693</v>
      </c>
      <c r="AE26" s="112">
        <f t="shared" si="16"/>
        <v>11.4316031428781</v>
      </c>
      <c r="AF26" s="124">
        <f t="shared" si="43"/>
        <v>2.5559985953120763</v>
      </c>
      <c r="AG26" s="124">
        <f t="shared" si="37"/>
        <v>0.51290941711948024</v>
      </c>
      <c r="AH26" s="113">
        <f t="shared" si="20"/>
        <v>0.171875</v>
      </c>
      <c r="AI26" s="112">
        <f t="shared" si="12"/>
        <v>0.91682558310107087</v>
      </c>
      <c r="AJ26" s="127" t="s">
        <v>112</v>
      </c>
      <c r="AK26" s="122">
        <f t="shared" si="45"/>
        <v>9.5749999999999993</v>
      </c>
      <c r="AL26" s="127" t="s">
        <v>112</v>
      </c>
      <c r="AM26" s="122">
        <f t="shared" si="44"/>
        <v>4.4090605334554285</v>
      </c>
      <c r="AN26" s="127" t="s">
        <v>112</v>
      </c>
      <c r="AO26" s="127" t="s">
        <v>112</v>
      </c>
      <c r="AP26" s="114">
        <f t="shared" si="17"/>
        <v>18.141669128988056</v>
      </c>
      <c r="AQ26" s="128">
        <f t="shared" si="40"/>
        <v>19.23076923076923</v>
      </c>
      <c r="AR26" s="114">
        <f t="shared" si="18"/>
        <v>48.804041502635386</v>
      </c>
      <c r="AS26" s="122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</row>
    <row r="27" spans="1:74" s="125" customFormat="1" ht="21.75" customHeight="1" x14ac:dyDescent="0.35">
      <c r="A27" s="105" t="s">
        <v>209</v>
      </c>
      <c r="B27" s="105" t="s">
        <v>151</v>
      </c>
      <c r="C27" s="129" t="s">
        <v>195</v>
      </c>
      <c r="D27" s="129" t="s">
        <v>184</v>
      </c>
      <c r="E27" s="105" t="s">
        <v>155</v>
      </c>
      <c r="F27" s="105" t="s">
        <v>177</v>
      </c>
      <c r="G27" s="129">
        <v>20120007</v>
      </c>
      <c r="H27" s="130" t="s">
        <v>186</v>
      </c>
      <c r="I27" s="127" t="s">
        <v>161</v>
      </c>
      <c r="J27" s="129" t="s">
        <v>222</v>
      </c>
      <c r="K27" s="129" t="s">
        <v>166</v>
      </c>
      <c r="L27" s="132">
        <v>1</v>
      </c>
      <c r="M27" s="132" t="s">
        <v>167</v>
      </c>
      <c r="N27" s="122"/>
      <c r="O27" s="122"/>
      <c r="P27" s="122" t="s">
        <v>111</v>
      </c>
      <c r="Q27" s="122"/>
      <c r="R27" s="122"/>
      <c r="S27" s="110"/>
      <c r="T27" s="133">
        <v>125</v>
      </c>
      <c r="U27" s="133">
        <v>125</v>
      </c>
      <c r="V27" s="133">
        <v>137.5</v>
      </c>
      <c r="W27" s="110">
        <v>1499.74</v>
      </c>
      <c r="X27" s="127" t="s">
        <v>112</v>
      </c>
      <c r="Y27" s="83">
        <f t="shared" si="30"/>
        <v>10310.712500000001</v>
      </c>
      <c r="Z27" s="111">
        <f t="shared" si="1"/>
        <v>4124.2849999999999</v>
      </c>
      <c r="AA27" s="122">
        <f t="shared" si="34"/>
        <v>1153.8461538461538</v>
      </c>
      <c r="AB27" s="122">
        <f t="shared" si="35"/>
        <v>1538.4615384615386</v>
      </c>
      <c r="AC27" s="127" t="s">
        <v>112</v>
      </c>
      <c r="AD27" s="111">
        <f t="shared" si="4"/>
        <v>17127.305192307693</v>
      </c>
      <c r="AE27" s="112">
        <f t="shared" si="16"/>
        <v>11.4316031428781</v>
      </c>
      <c r="AF27" s="124">
        <f t="shared" si="43"/>
        <v>2.5559985953120763</v>
      </c>
      <c r="AG27" s="124">
        <f t="shared" si="37"/>
        <v>0.51290941711948024</v>
      </c>
      <c r="AH27" s="113">
        <f t="shared" si="20"/>
        <v>0.171875</v>
      </c>
      <c r="AI27" s="112">
        <f t="shared" si="12"/>
        <v>0.91682558310107087</v>
      </c>
      <c r="AJ27" s="127" t="s">
        <v>112</v>
      </c>
      <c r="AK27" s="122">
        <f t="shared" si="45"/>
        <v>9.5749999999999993</v>
      </c>
      <c r="AL27" s="127" t="s">
        <v>112</v>
      </c>
      <c r="AM27" s="122">
        <f t="shared" si="44"/>
        <v>4.4090605334554285</v>
      </c>
      <c r="AN27" s="127" t="s">
        <v>112</v>
      </c>
      <c r="AO27" s="127" t="s">
        <v>112</v>
      </c>
      <c r="AP27" s="114">
        <f t="shared" si="17"/>
        <v>18.141669128988056</v>
      </c>
      <c r="AQ27" s="128">
        <f t="shared" si="40"/>
        <v>19.23076923076923</v>
      </c>
      <c r="AR27" s="114">
        <f t="shared" si="18"/>
        <v>48.804041502635386</v>
      </c>
      <c r="AS27" s="122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</row>
    <row r="28" spans="1:74" s="125" customFormat="1" ht="21.75" customHeight="1" x14ac:dyDescent="0.35">
      <c r="A28" s="105" t="s">
        <v>210</v>
      </c>
      <c r="B28" s="105" t="s">
        <v>151</v>
      </c>
      <c r="C28" s="129" t="s">
        <v>195</v>
      </c>
      <c r="D28" s="129" t="s">
        <v>184</v>
      </c>
      <c r="E28" s="105" t="s">
        <v>155</v>
      </c>
      <c r="F28" s="105" t="s">
        <v>177</v>
      </c>
      <c r="G28" s="129">
        <v>20120007</v>
      </c>
      <c r="H28" s="130" t="s">
        <v>186</v>
      </c>
      <c r="I28" s="127" t="s">
        <v>161</v>
      </c>
      <c r="J28" s="129" t="s">
        <v>222</v>
      </c>
      <c r="K28" s="129" t="s">
        <v>166</v>
      </c>
      <c r="L28" s="132">
        <v>1</v>
      </c>
      <c r="M28" s="132" t="s">
        <v>167</v>
      </c>
      <c r="N28" s="122"/>
      <c r="O28" s="122"/>
      <c r="P28" s="122" t="s">
        <v>111</v>
      </c>
      <c r="Q28" s="122"/>
      <c r="R28" s="122"/>
      <c r="S28" s="110"/>
      <c r="T28" s="133">
        <v>125</v>
      </c>
      <c r="U28" s="133">
        <v>125</v>
      </c>
      <c r="V28" s="133">
        <v>137.5</v>
      </c>
      <c r="W28" s="110">
        <v>1499.74</v>
      </c>
      <c r="X28" s="127" t="s">
        <v>112</v>
      </c>
      <c r="Y28" s="83">
        <f t="shared" si="30"/>
        <v>10310.712500000001</v>
      </c>
      <c r="Z28" s="111">
        <f t="shared" si="1"/>
        <v>4124.2849999999999</v>
      </c>
      <c r="AA28" s="122">
        <f t="shared" si="34"/>
        <v>1153.8461538461538</v>
      </c>
      <c r="AB28" s="122">
        <f t="shared" si="35"/>
        <v>1538.4615384615386</v>
      </c>
      <c r="AC28" s="127" t="s">
        <v>112</v>
      </c>
      <c r="AD28" s="111">
        <f t="shared" si="4"/>
        <v>17127.305192307693</v>
      </c>
      <c r="AE28" s="112">
        <f t="shared" si="16"/>
        <v>11.4316031428781</v>
      </c>
      <c r="AF28" s="124">
        <f t="shared" si="43"/>
        <v>2.5559985953120763</v>
      </c>
      <c r="AG28" s="124">
        <f t="shared" si="37"/>
        <v>0.51290941711948024</v>
      </c>
      <c r="AH28" s="113">
        <f t="shared" si="20"/>
        <v>0.171875</v>
      </c>
      <c r="AI28" s="112">
        <f t="shared" si="12"/>
        <v>0.91682558310107087</v>
      </c>
      <c r="AJ28" s="127" t="s">
        <v>112</v>
      </c>
      <c r="AK28" s="122">
        <f t="shared" si="45"/>
        <v>9.5749999999999993</v>
      </c>
      <c r="AL28" s="127" t="s">
        <v>112</v>
      </c>
      <c r="AM28" s="122">
        <f t="shared" si="44"/>
        <v>4.4090605334554285</v>
      </c>
      <c r="AN28" s="127" t="s">
        <v>112</v>
      </c>
      <c r="AO28" s="127" t="s">
        <v>112</v>
      </c>
      <c r="AP28" s="114">
        <f t="shared" si="17"/>
        <v>18.141669128988056</v>
      </c>
      <c r="AQ28" s="128">
        <f t="shared" si="40"/>
        <v>19.23076923076923</v>
      </c>
      <c r="AR28" s="114">
        <f t="shared" si="18"/>
        <v>48.804041502635386</v>
      </c>
      <c r="AS28" s="122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</row>
    <row r="29" spans="1:74" s="125" customFormat="1" ht="21.75" customHeight="1" x14ac:dyDescent="0.35">
      <c r="A29" s="105" t="s">
        <v>211</v>
      </c>
      <c r="B29" s="105" t="s">
        <v>151</v>
      </c>
      <c r="C29" s="129" t="s">
        <v>195</v>
      </c>
      <c r="D29" s="129" t="s">
        <v>184</v>
      </c>
      <c r="E29" s="105" t="s">
        <v>155</v>
      </c>
      <c r="F29" s="105" t="s">
        <v>177</v>
      </c>
      <c r="G29" s="129">
        <v>20120007</v>
      </c>
      <c r="H29" s="130" t="s">
        <v>186</v>
      </c>
      <c r="I29" s="127" t="s">
        <v>161</v>
      </c>
      <c r="J29" s="129" t="s">
        <v>222</v>
      </c>
      <c r="K29" s="129" t="s">
        <v>166</v>
      </c>
      <c r="L29" s="132">
        <v>1</v>
      </c>
      <c r="M29" s="132" t="s">
        <v>167</v>
      </c>
      <c r="N29" s="122"/>
      <c r="O29" s="122"/>
      <c r="P29" s="122" t="s">
        <v>111</v>
      </c>
      <c r="Q29" s="122"/>
      <c r="R29" s="122"/>
      <c r="S29" s="110"/>
      <c r="T29" s="133">
        <v>125</v>
      </c>
      <c r="U29" s="133">
        <v>125</v>
      </c>
      <c r="V29" s="133">
        <v>137.5</v>
      </c>
      <c r="W29" s="110">
        <v>1499.74</v>
      </c>
      <c r="X29" s="127" t="s">
        <v>112</v>
      </c>
      <c r="Y29" s="83">
        <f t="shared" si="30"/>
        <v>10310.712500000001</v>
      </c>
      <c r="Z29" s="111">
        <f t="shared" si="1"/>
        <v>4124.2849999999999</v>
      </c>
      <c r="AA29" s="122">
        <f t="shared" si="34"/>
        <v>1153.8461538461538</v>
      </c>
      <c r="AB29" s="122">
        <f t="shared" si="35"/>
        <v>1538.4615384615386</v>
      </c>
      <c r="AC29" s="127" t="s">
        <v>112</v>
      </c>
      <c r="AD29" s="111">
        <f t="shared" si="4"/>
        <v>17127.305192307693</v>
      </c>
      <c r="AE29" s="112">
        <f t="shared" si="16"/>
        <v>11.4316031428781</v>
      </c>
      <c r="AF29" s="124">
        <f t="shared" si="43"/>
        <v>2.5559985953120763</v>
      </c>
      <c r="AG29" s="124">
        <f t="shared" si="37"/>
        <v>0.51290941711948024</v>
      </c>
      <c r="AH29" s="113">
        <f t="shared" si="20"/>
        <v>0.171875</v>
      </c>
      <c r="AI29" s="112">
        <f t="shared" si="12"/>
        <v>0.91682558310107087</v>
      </c>
      <c r="AJ29" s="127" t="s">
        <v>112</v>
      </c>
      <c r="AK29" s="122">
        <f t="shared" si="45"/>
        <v>9.5749999999999993</v>
      </c>
      <c r="AL29" s="127" t="s">
        <v>112</v>
      </c>
      <c r="AM29" s="122">
        <f t="shared" si="44"/>
        <v>4.4090605334554285</v>
      </c>
      <c r="AN29" s="127" t="s">
        <v>112</v>
      </c>
      <c r="AO29" s="127" t="s">
        <v>112</v>
      </c>
      <c r="AP29" s="114">
        <f t="shared" si="17"/>
        <v>18.141669128988056</v>
      </c>
      <c r="AQ29" s="128">
        <f t="shared" si="40"/>
        <v>19.23076923076923</v>
      </c>
      <c r="AR29" s="114">
        <f t="shared" si="18"/>
        <v>48.804041502635386</v>
      </c>
      <c r="AS29" s="122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</row>
    <row r="30" spans="1:74" s="125" customFormat="1" ht="21.75" customHeight="1" x14ac:dyDescent="0.35">
      <c r="A30" s="105" t="s">
        <v>212</v>
      </c>
      <c r="B30" s="105" t="s">
        <v>151</v>
      </c>
      <c r="C30" s="129" t="s">
        <v>195</v>
      </c>
      <c r="D30" s="129" t="s">
        <v>184</v>
      </c>
      <c r="E30" s="105" t="s">
        <v>155</v>
      </c>
      <c r="F30" s="105" t="s">
        <v>177</v>
      </c>
      <c r="G30" s="129">
        <v>20120007</v>
      </c>
      <c r="H30" s="130" t="s">
        <v>186</v>
      </c>
      <c r="I30" s="127" t="s">
        <v>161</v>
      </c>
      <c r="J30" s="129" t="s">
        <v>222</v>
      </c>
      <c r="K30" s="129" t="s">
        <v>166</v>
      </c>
      <c r="L30" s="132">
        <v>1</v>
      </c>
      <c r="M30" s="132" t="s">
        <v>167</v>
      </c>
      <c r="N30" s="122"/>
      <c r="O30" s="122"/>
      <c r="P30" s="122" t="s">
        <v>111</v>
      </c>
      <c r="Q30" s="122"/>
      <c r="R30" s="122"/>
      <c r="S30" s="110"/>
      <c r="T30" s="133">
        <v>125</v>
      </c>
      <c r="U30" s="133">
        <v>125</v>
      </c>
      <c r="V30" s="133">
        <v>137.5</v>
      </c>
      <c r="W30" s="110">
        <v>1499.74</v>
      </c>
      <c r="X30" s="127" t="s">
        <v>112</v>
      </c>
      <c r="Y30" s="83">
        <f t="shared" si="30"/>
        <v>10310.712500000001</v>
      </c>
      <c r="Z30" s="111">
        <f t="shared" si="1"/>
        <v>4124.2849999999999</v>
      </c>
      <c r="AA30" s="122">
        <f t="shared" si="34"/>
        <v>1153.8461538461538</v>
      </c>
      <c r="AB30" s="122">
        <f t="shared" si="35"/>
        <v>1538.4615384615386</v>
      </c>
      <c r="AC30" s="127" t="s">
        <v>112</v>
      </c>
      <c r="AD30" s="111">
        <f t="shared" si="4"/>
        <v>17127.305192307693</v>
      </c>
      <c r="AE30" s="112">
        <f t="shared" si="16"/>
        <v>11.4316031428781</v>
      </c>
      <c r="AF30" s="124">
        <f t="shared" si="43"/>
        <v>2.5559985953120763</v>
      </c>
      <c r="AG30" s="124">
        <f t="shared" si="37"/>
        <v>0.51290941711948024</v>
      </c>
      <c r="AH30" s="113">
        <f t="shared" si="20"/>
        <v>0.171875</v>
      </c>
      <c r="AI30" s="112">
        <f t="shared" si="12"/>
        <v>0.91682558310107087</v>
      </c>
      <c r="AJ30" s="127" t="s">
        <v>112</v>
      </c>
      <c r="AK30" s="122">
        <f t="shared" si="45"/>
        <v>9.5749999999999993</v>
      </c>
      <c r="AL30" s="127" t="s">
        <v>112</v>
      </c>
      <c r="AM30" s="122">
        <f t="shared" si="44"/>
        <v>4.4090605334554285</v>
      </c>
      <c r="AN30" s="127" t="s">
        <v>112</v>
      </c>
      <c r="AO30" s="127" t="s">
        <v>112</v>
      </c>
      <c r="AP30" s="114">
        <f t="shared" si="17"/>
        <v>18.141669128988056</v>
      </c>
      <c r="AQ30" s="128">
        <f t="shared" si="40"/>
        <v>19.23076923076923</v>
      </c>
      <c r="AR30" s="114">
        <f t="shared" si="18"/>
        <v>48.804041502635386</v>
      </c>
      <c r="AS30" s="122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</row>
    <row r="31" spans="1:74" s="125" customFormat="1" ht="21.75" customHeight="1" x14ac:dyDescent="0.35">
      <c r="A31" s="105" t="s">
        <v>213</v>
      </c>
      <c r="B31" s="105" t="s">
        <v>151</v>
      </c>
      <c r="C31" s="129" t="s">
        <v>195</v>
      </c>
      <c r="D31" s="129" t="s">
        <v>184</v>
      </c>
      <c r="E31" s="105" t="s">
        <v>155</v>
      </c>
      <c r="F31" s="105" t="s">
        <v>177</v>
      </c>
      <c r="G31" s="129">
        <v>20120007</v>
      </c>
      <c r="H31" s="130" t="s">
        <v>186</v>
      </c>
      <c r="I31" s="127" t="s">
        <v>161</v>
      </c>
      <c r="J31" s="129" t="s">
        <v>222</v>
      </c>
      <c r="K31" s="129" t="s">
        <v>166</v>
      </c>
      <c r="L31" s="132">
        <v>1</v>
      </c>
      <c r="M31" s="132" t="s">
        <v>167</v>
      </c>
      <c r="N31" s="122"/>
      <c r="O31" s="122"/>
      <c r="P31" s="122" t="s">
        <v>111</v>
      </c>
      <c r="Q31" s="122"/>
      <c r="R31" s="122"/>
      <c r="S31" s="110"/>
      <c r="T31" s="133">
        <v>125</v>
      </c>
      <c r="U31" s="133">
        <v>125</v>
      </c>
      <c r="V31" s="133">
        <v>137.5</v>
      </c>
      <c r="W31" s="110">
        <v>1499.74</v>
      </c>
      <c r="X31" s="127" t="s">
        <v>112</v>
      </c>
      <c r="Y31" s="83">
        <f t="shared" si="30"/>
        <v>10310.712500000001</v>
      </c>
      <c r="Z31" s="111">
        <f t="shared" si="1"/>
        <v>4124.2849999999999</v>
      </c>
      <c r="AA31" s="122">
        <f t="shared" si="34"/>
        <v>1153.8461538461538</v>
      </c>
      <c r="AB31" s="122">
        <f t="shared" si="35"/>
        <v>1538.4615384615386</v>
      </c>
      <c r="AC31" s="127" t="s">
        <v>112</v>
      </c>
      <c r="AD31" s="111">
        <f t="shared" si="4"/>
        <v>17127.305192307693</v>
      </c>
      <c r="AE31" s="112">
        <f t="shared" si="16"/>
        <v>11.4316031428781</v>
      </c>
      <c r="AF31" s="124">
        <f t="shared" si="43"/>
        <v>2.5559985953120763</v>
      </c>
      <c r="AG31" s="124">
        <f t="shared" si="37"/>
        <v>0.51290941711948024</v>
      </c>
      <c r="AH31" s="113">
        <f t="shared" si="20"/>
        <v>0.171875</v>
      </c>
      <c r="AI31" s="112">
        <f t="shared" si="12"/>
        <v>0.91682558310107087</v>
      </c>
      <c r="AJ31" s="127" t="s">
        <v>112</v>
      </c>
      <c r="AK31" s="122">
        <f t="shared" si="45"/>
        <v>9.5749999999999993</v>
      </c>
      <c r="AL31" s="127" t="s">
        <v>112</v>
      </c>
      <c r="AM31" s="122">
        <f t="shared" si="44"/>
        <v>4.4090605334554285</v>
      </c>
      <c r="AN31" s="127" t="s">
        <v>112</v>
      </c>
      <c r="AO31" s="127" t="s">
        <v>112</v>
      </c>
      <c r="AP31" s="114">
        <f t="shared" si="17"/>
        <v>18.141669128988056</v>
      </c>
      <c r="AQ31" s="128">
        <f t="shared" si="40"/>
        <v>19.23076923076923</v>
      </c>
      <c r="AR31" s="114">
        <f t="shared" si="18"/>
        <v>48.804041502635386</v>
      </c>
      <c r="AS31" s="122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</row>
    <row r="32" spans="1:74" s="125" customFormat="1" ht="21.75" customHeight="1" x14ac:dyDescent="0.35">
      <c r="A32" s="105" t="s">
        <v>214</v>
      </c>
      <c r="B32" s="105" t="s">
        <v>151</v>
      </c>
      <c r="C32" s="129" t="s">
        <v>195</v>
      </c>
      <c r="D32" s="129" t="s">
        <v>184</v>
      </c>
      <c r="E32" s="105" t="s">
        <v>155</v>
      </c>
      <c r="F32" s="105" t="s">
        <v>177</v>
      </c>
      <c r="G32" s="129">
        <v>20120007</v>
      </c>
      <c r="H32" s="130" t="s">
        <v>186</v>
      </c>
      <c r="I32" s="127" t="s">
        <v>161</v>
      </c>
      <c r="J32" s="129" t="s">
        <v>222</v>
      </c>
      <c r="K32" s="129" t="s">
        <v>166</v>
      </c>
      <c r="L32" s="132">
        <v>1</v>
      </c>
      <c r="M32" s="132" t="s">
        <v>167</v>
      </c>
      <c r="N32" s="122"/>
      <c r="O32" s="122"/>
      <c r="P32" s="122" t="s">
        <v>111</v>
      </c>
      <c r="Q32" s="122"/>
      <c r="R32" s="122"/>
      <c r="S32" s="110"/>
      <c r="T32" s="133">
        <v>125</v>
      </c>
      <c r="U32" s="133">
        <v>125</v>
      </c>
      <c r="V32" s="133">
        <v>137.5</v>
      </c>
      <c r="W32" s="110">
        <v>1499.74</v>
      </c>
      <c r="X32" s="127" t="s">
        <v>112</v>
      </c>
      <c r="Y32" s="83">
        <f t="shared" si="30"/>
        <v>10310.712500000001</v>
      </c>
      <c r="Z32" s="111">
        <f t="shared" si="1"/>
        <v>4124.2849999999999</v>
      </c>
      <c r="AA32" s="122">
        <f t="shared" si="34"/>
        <v>1153.8461538461538</v>
      </c>
      <c r="AB32" s="122">
        <f t="shared" si="35"/>
        <v>1538.4615384615386</v>
      </c>
      <c r="AC32" s="127" t="s">
        <v>112</v>
      </c>
      <c r="AD32" s="111">
        <f t="shared" si="4"/>
        <v>17127.305192307693</v>
      </c>
      <c r="AE32" s="112">
        <f t="shared" si="16"/>
        <v>11.4316031428781</v>
      </c>
      <c r="AF32" s="124">
        <f t="shared" si="43"/>
        <v>2.5559985953120763</v>
      </c>
      <c r="AG32" s="124">
        <f t="shared" si="37"/>
        <v>0.51290941711948024</v>
      </c>
      <c r="AH32" s="113">
        <f t="shared" si="20"/>
        <v>0.171875</v>
      </c>
      <c r="AI32" s="112">
        <f t="shared" si="12"/>
        <v>0.91682558310107087</v>
      </c>
      <c r="AJ32" s="127" t="s">
        <v>112</v>
      </c>
      <c r="AK32" s="122">
        <f t="shared" si="45"/>
        <v>9.5749999999999993</v>
      </c>
      <c r="AL32" s="127" t="s">
        <v>112</v>
      </c>
      <c r="AM32" s="122">
        <f t="shared" si="44"/>
        <v>4.4090605334554285</v>
      </c>
      <c r="AN32" s="127" t="s">
        <v>112</v>
      </c>
      <c r="AO32" s="127" t="s">
        <v>112</v>
      </c>
      <c r="AP32" s="114">
        <f t="shared" si="17"/>
        <v>18.141669128988056</v>
      </c>
      <c r="AQ32" s="128">
        <f t="shared" si="40"/>
        <v>19.23076923076923</v>
      </c>
      <c r="AR32" s="114">
        <f t="shared" si="18"/>
        <v>48.804041502635386</v>
      </c>
      <c r="AS32" s="122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</row>
    <row r="33" spans="1:74" s="125" customFormat="1" ht="21.75" customHeight="1" x14ac:dyDescent="0.35">
      <c r="A33" s="105" t="s">
        <v>215</v>
      </c>
      <c r="B33" s="105" t="s">
        <v>151</v>
      </c>
      <c r="C33" s="129" t="s">
        <v>195</v>
      </c>
      <c r="D33" s="129" t="s">
        <v>184</v>
      </c>
      <c r="E33" s="105" t="s">
        <v>155</v>
      </c>
      <c r="F33" s="105" t="s">
        <v>177</v>
      </c>
      <c r="G33" s="129">
        <v>20120007</v>
      </c>
      <c r="H33" s="130" t="s">
        <v>186</v>
      </c>
      <c r="I33" s="127" t="s">
        <v>161</v>
      </c>
      <c r="J33" s="129" t="s">
        <v>222</v>
      </c>
      <c r="K33" s="129" t="s">
        <v>166</v>
      </c>
      <c r="L33" s="132">
        <v>1</v>
      </c>
      <c r="M33" s="132" t="s">
        <v>167</v>
      </c>
      <c r="N33" s="122"/>
      <c r="O33" s="122"/>
      <c r="P33" s="122" t="s">
        <v>111</v>
      </c>
      <c r="Q33" s="122"/>
      <c r="R33" s="122"/>
      <c r="S33" s="110"/>
      <c r="T33" s="133">
        <v>125</v>
      </c>
      <c r="U33" s="133">
        <v>125</v>
      </c>
      <c r="V33" s="133">
        <v>137.5</v>
      </c>
      <c r="W33" s="110">
        <v>1499.74</v>
      </c>
      <c r="X33" s="127" t="s">
        <v>112</v>
      </c>
      <c r="Y33" s="83">
        <f t="shared" si="30"/>
        <v>10310.712500000001</v>
      </c>
      <c r="Z33" s="111">
        <f t="shared" si="1"/>
        <v>4124.2849999999999</v>
      </c>
      <c r="AA33" s="122">
        <f t="shared" si="34"/>
        <v>1153.8461538461538</v>
      </c>
      <c r="AB33" s="122">
        <f t="shared" si="35"/>
        <v>1538.4615384615386</v>
      </c>
      <c r="AC33" s="127" t="s">
        <v>112</v>
      </c>
      <c r="AD33" s="111">
        <f t="shared" si="4"/>
        <v>17127.305192307693</v>
      </c>
      <c r="AE33" s="112">
        <f t="shared" si="16"/>
        <v>11.4316031428781</v>
      </c>
      <c r="AF33" s="124">
        <f t="shared" si="43"/>
        <v>2.5559985953120763</v>
      </c>
      <c r="AG33" s="124">
        <f t="shared" si="37"/>
        <v>0.51290941711948024</v>
      </c>
      <c r="AH33" s="113">
        <f t="shared" si="20"/>
        <v>0.171875</v>
      </c>
      <c r="AI33" s="112">
        <f t="shared" si="12"/>
        <v>0.91682558310107087</v>
      </c>
      <c r="AJ33" s="127" t="s">
        <v>112</v>
      </c>
      <c r="AK33" s="122">
        <f t="shared" si="45"/>
        <v>9.5749999999999993</v>
      </c>
      <c r="AL33" s="127" t="s">
        <v>112</v>
      </c>
      <c r="AM33" s="122">
        <f t="shared" si="44"/>
        <v>4.4090605334554285</v>
      </c>
      <c r="AN33" s="127" t="s">
        <v>112</v>
      </c>
      <c r="AO33" s="127" t="s">
        <v>112</v>
      </c>
      <c r="AP33" s="114">
        <f t="shared" si="17"/>
        <v>18.141669128988056</v>
      </c>
      <c r="AQ33" s="128">
        <f t="shared" si="40"/>
        <v>19.23076923076923</v>
      </c>
      <c r="AR33" s="114">
        <f t="shared" si="18"/>
        <v>48.804041502635386</v>
      </c>
      <c r="AS33" s="122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</row>
    <row r="34" spans="1:74" s="125" customFormat="1" ht="21.75" customHeight="1" x14ac:dyDescent="0.35">
      <c r="A34" s="105" t="s">
        <v>216</v>
      </c>
      <c r="B34" s="105" t="s">
        <v>151</v>
      </c>
      <c r="C34" s="129" t="s">
        <v>195</v>
      </c>
      <c r="D34" s="129" t="s">
        <v>184</v>
      </c>
      <c r="E34" s="105" t="s">
        <v>155</v>
      </c>
      <c r="F34" s="105" t="s">
        <v>177</v>
      </c>
      <c r="G34" s="129">
        <v>20120007</v>
      </c>
      <c r="H34" s="130" t="s">
        <v>186</v>
      </c>
      <c r="I34" s="127" t="s">
        <v>161</v>
      </c>
      <c r="J34" s="129" t="s">
        <v>222</v>
      </c>
      <c r="K34" s="129" t="s">
        <v>166</v>
      </c>
      <c r="L34" s="132">
        <v>1</v>
      </c>
      <c r="M34" s="132" t="s">
        <v>167</v>
      </c>
      <c r="N34" s="122"/>
      <c r="O34" s="122"/>
      <c r="P34" s="122" t="s">
        <v>111</v>
      </c>
      <c r="Q34" s="122"/>
      <c r="R34" s="122"/>
      <c r="S34" s="110"/>
      <c r="T34" s="133">
        <v>125</v>
      </c>
      <c r="U34" s="133">
        <v>125</v>
      </c>
      <c r="V34" s="133">
        <v>137.5</v>
      </c>
      <c r="W34" s="110">
        <v>1499.74</v>
      </c>
      <c r="X34" s="127" t="s">
        <v>112</v>
      </c>
      <c r="Y34" s="83">
        <f t="shared" si="30"/>
        <v>10310.712500000001</v>
      </c>
      <c r="Z34" s="111">
        <f t="shared" si="1"/>
        <v>4124.2849999999999</v>
      </c>
      <c r="AA34" s="122">
        <f t="shared" si="34"/>
        <v>1153.8461538461538</v>
      </c>
      <c r="AB34" s="122">
        <f t="shared" si="35"/>
        <v>1538.4615384615386</v>
      </c>
      <c r="AC34" s="127" t="s">
        <v>112</v>
      </c>
      <c r="AD34" s="111">
        <f t="shared" si="4"/>
        <v>17127.305192307693</v>
      </c>
      <c r="AE34" s="112">
        <f t="shared" si="16"/>
        <v>11.4316031428781</v>
      </c>
      <c r="AF34" s="124">
        <f t="shared" si="43"/>
        <v>2.5559985953120763</v>
      </c>
      <c r="AG34" s="124">
        <f t="shared" si="37"/>
        <v>0.51290941711948024</v>
      </c>
      <c r="AH34" s="113">
        <f t="shared" si="20"/>
        <v>0.171875</v>
      </c>
      <c r="AI34" s="112">
        <f t="shared" si="12"/>
        <v>0.91682558310107087</v>
      </c>
      <c r="AJ34" s="127" t="s">
        <v>112</v>
      </c>
      <c r="AK34" s="122">
        <f t="shared" si="45"/>
        <v>9.5749999999999993</v>
      </c>
      <c r="AL34" s="127" t="s">
        <v>112</v>
      </c>
      <c r="AM34" s="122">
        <f t="shared" si="44"/>
        <v>4.4090605334554285</v>
      </c>
      <c r="AN34" s="127" t="s">
        <v>112</v>
      </c>
      <c r="AO34" s="127" t="s">
        <v>112</v>
      </c>
      <c r="AP34" s="114">
        <f t="shared" si="17"/>
        <v>18.141669128988056</v>
      </c>
      <c r="AQ34" s="128">
        <f t="shared" si="40"/>
        <v>19.23076923076923</v>
      </c>
      <c r="AR34" s="114">
        <f t="shared" si="18"/>
        <v>48.804041502635386</v>
      </c>
      <c r="AS34" s="122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</row>
    <row r="35" spans="1:74" s="125" customFormat="1" ht="21.75" customHeight="1" x14ac:dyDescent="0.35">
      <c r="A35" s="105" t="s">
        <v>217</v>
      </c>
      <c r="B35" s="105" t="s">
        <v>151</v>
      </c>
      <c r="C35" s="129" t="s">
        <v>195</v>
      </c>
      <c r="D35" s="129" t="s">
        <v>184</v>
      </c>
      <c r="E35" s="105" t="s">
        <v>155</v>
      </c>
      <c r="F35" s="105" t="s">
        <v>177</v>
      </c>
      <c r="G35" s="129">
        <v>20120007</v>
      </c>
      <c r="H35" s="130" t="s">
        <v>186</v>
      </c>
      <c r="I35" s="127" t="s">
        <v>161</v>
      </c>
      <c r="J35" s="129" t="s">
        <v>222</v>
      </c>
      <c r="K35" s="129" t="s">
        <v>166</v>
      </c>
      <c r="L35" s="132">
        <v>1</v>
      </c>
      <c r="M35" s="132" t="s">
        <v>167</v>
      </c>
      <c r="N35" s="122"/>
      <c r="O35" s="122"/>
      <c r="P35" s="122" t="s">
        <v>111</v>
      </c>
      <c r="Q35" s="122"/>
      <c r="R35" s="122"/>
      <c r="S35" s="110"/>
      <c r="T35" s="133">
        <v>125</v>
      </c>
      <c r="U35" s="133">
        <v>125</v>
      </c>
      <c r="V35" s="133">
        <v>137.5</v>
      </c>
      <c r="W35" s="110">
        <v>1499.74</v>
      </c>
      <c r="X35" s="127" t="s">
        <v>112</v>
      </c>
      <c r="Y35" s="83">
        <f t="shared" si="30"/>
        <v>10310.712500000001</v>
      </c>
      <c r="Z35" s="111">
        <f t="shared" si="1"/>
        <v>4124.2849999999999</v>
      </c>
      <c r="AA35" s="122">
        <f t="shared" si="34"/>
        <v>1153.8461538461538</v>
      </c>
      <c r="AB35" s="122">
        <f t="shared" si="35"/>
        <v>1538.4615384615386</v>
      </c>
      <c r="AC35" s="127" t="s">
        <v>112</v>
      </c>
      <c r="AD35" s="111">
        <f t="shared" si="4"/>
        <v>17127.305192307693</v>
      </c>
      <c r="AE35" s="112">
        <f t="shared" si="16"/>
        <v>11.4316031428781</v>
      </c>
      <c r="AF35" s="124">
        <f t="shared" si="43"/>
        <v>2.5559985953120763</v>
      </c>
      <c r="AG35" s="124">
        <f t="shared" si="37"/>
        <v>0.51290941711948024</v>
      </c>
      <c r="AH35" s="113">
        <f t="shared" si="20"/>
        <v>0.171875</v>
      </c>
      <c r="AI35" s="112">
        <f t="shared" si="12"/>
        <v>0.91682558310107087</v>
      </c>
      <c r="AJ35" s="127" t="s">
        <v>112</v>
      </c>
      <c r="AK35" s="122">
        <f t="shared" si="45"/>
        <v>9.5749999999999993</v>
      </c>
      <c r="AL35" s="127" t="s">
        <v>112</v>
      </c>
      <c r="AM35" s="122">
        <f t="shared" si="44"/>
        <v>4.4090605334554285</v>
      </c>
      <c r="AN35" s="127" t="s">
        <v>112</v>
      </c>
      <c r="AO35" s="127" t="s">
        <v>112</v>
      </c>
      <c r="AP35" s="114">
        <f t="shared" si="17"/>
        <v>18.141669128988056</v>
      </c>
      <c r="AQ35" s="128">
        <f t="shared" si="40"/>
        <v>19.23076923076923</v>
      </c>
      <c r="AR35" s="114">
        <f t="shared" si="18"/>
        <v>48.804041502635386</v>
      </c>
      <c r="AS35" s="122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</row>
    <row r="36" spans="1:74" s="125" customFormat="1" ht="21.75" customHeight="1" x14ac:dyDescent="0.35">
      <c r="A36" s="105" t="s">
        <v>218</v>
      </c>
      <c r="B36" s="105" t="s">
        <v>151</v>
      </c>
      <c r="C36" s="129" t="s">
        <v>195</v>
      </c>
      <c r="D36" s="129" t="s">
        <v>184</v>
      </c>
      <c r="E36" s="105" t="s">
        <v>155</v>
      </c>
      <c r="F36" s="105" t="s">
        <v>177</v>
      </c>
      <c r="G36" s="129">
        <v>20120007</v>
      </c>
      <c r="H36" s="130" t="s">
        <v>186</v>
      </c>
      <c r="I36" s="127" t="s">
        <v>161</v>
      </c>
      <c r="J36" s="129" t="s">
        <v>222</v>
      </c>
      <c r="K36" s="129" t="s">
        <v>166</v>
      </c>
      <c r="L36" s="132">
        <v>1</v>
      </c>
      <c r="M36" s="132" t="s">
        <v>167</v>
      </c>
      <c r="N36" s="122"/>
      <c r="O36" s="122"/>
      <c r="P36" s="122" t="s">
        <v>111</v>
      </c>
      <c r="Q36" s="122"/>
      <c r="R36" s="122"/>
      <c r="S36" s="110"/>
      <c r="T36" s="133">
        <v>125</v>
      </c>
      <c r="U36" s="133">
        <v>125</v>
      </c>
      <c r="V36" s="133">
        <v>137.5</v>
      </c>
      <c r="W36" s="110">
        <v>1499.74</v>
      </c>
      <c r="X36" s="127" t="s">
        <v>112</v>
      </c>
      <c r="Y36" s="83">
        <f t="shared" si="30"/>
        <v>10310.712500000001</v>
      </c>
      <c r="Z36" s="111">
        <f t="shared" si="1"/>
        <v>4124.2849999999999</v>
      </c>
      <c r="AA36" s="122">
        <f t="shared" si="34"/>
        <v>1153.8461538461538</v>
      </c>
      <c r="AB36" s="122">
        <f t="shared" si="35"/>
        <v>1538.4615384615386</v>
      </c>
      <c r="AC36" s="127" t="s">
        <v>112</v>
      </c>
      <c r="AD36" s="111">
        <f t="shared" si="4"/>
        <v>17127.305192307693</v>
      </c>
      <c r="AE36" s="112">
        <f t="shared" si="16"/>
        <v>11.4316031428781</v>
      </c>
      <c r="AF36" s="124">
        <f t="shared" si="43"/>
        <v>2.5559985953120763</v>
      </c>
      <c r="AG36" s="124">
        <f t="shared" si="37"/>
        <v>0.51290941711948024</v>
      </c>
      <c r="AH36" s="113">
        <f t="shared" si="20"/>
        <v>0.171875</v>
      </c>
      <c r="AI36" s="112">
        <f t="shared" si="12"/>
        <v>0.91682558310107087</v>
      </c>
      <c r="AJ36" s="127" t="s">
        <v>112</v>
      </c>
      <c r="AK36" s="122">
        <f t="shared" si="45"/>
        <v>9.5749999999999993</v>
      </c>
      <c r="AL36" s="127" t="s">
        <v>112</v>
      </c>
      <c r="AM36" s="122">
        <f t="shared" si="44"/>
        <v>4.4090605334554285</v>
      </c>
      <c r="AN36" s="127" t="s">
        <v>112</v>
      </c>
      <c r="AO36" s="127" t="s">
        <v>112</v>
      </c>
      <c r="AP36" s="114">
        <f t="shared" si="17"/>
        <v>18.141669128988056</v>
      </c>
      <c r="AQ36" s="128">
        <f t="shared" si="40"/>
        <v>19.23076923076923</v>
      </c>
      <c r="AR36" s="114">
        <f t="shared" si="18"/>
        <v>48.804041502635386</v>
      </c>
      <c r="AS36" s="122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</row>
    <row r="37" spans="1:74" s="125" customFormat="1" ht="21.75" customHeight="1" x14ac:dyDescent="0.35">
      <c r="A37" s="105" t="s">
        <v>219</v>
      </c>
      <c r="B37" s="105" t="s">
        <v>151</v>
      </c>
      <c r="C37" s="129" t="s">
        <v>195</v>
      </c>
      <c r="D37" s="129" t="s">
        <v>184</v>
      </c>
      <c r="E37" s="105" t="s">
        <v>155</v>
      </c>
      <c r="F37" s="105" t="s">
        <v>177</v>
      </c>
      <c r="G37" s="129">
        <v>20120007</v>
      </c>
      <c r="H37" s="130" t="s">
        <v>186</v>
      </c>
      <c r="I37" s="127" t="s">
        <v>161</v>
      </c>
      <c r="J37" s="129" t="s">
        <v>222</v>
      </c>
      <c r="K37" s="129" t="s">
        <v>166</v>
      </c>
      <c r="L37" s="132">
        <v>1</v>
      </c>
      <c r="M37" s="132" t="s">
        <v>167</v>
      </c>
      <c r="N37" s="122"/>
      <c r="O37" s="122"/>
      <c r="P37" s="122" t="s">
        <v>111</v>
      </c>
      <c r="Q37" s="122"/>
      <c r="R37" s="122"/>
      <c r="S37" s="110"/>
      <c r="T37" s="133">
        <v>125</v>
      </c>
      <c r="U37" s="133">
        <v>125</v>
      </c>
      <c r="V37" s="133">
        <v>137.5</v>
      </c>
      <c r="W37" s="110">
        <v>1499.74</v>
      </c>
      <c r="X37" s="127" t="s">
        <v>112</v>
      </c>
      <c r="Y37" s="83">
        <f t="shared" si="30"/>
        <v>10310.712500000001</v>
      </c>
      <c r="Z37" s="111">
        <f t="shared" si="1"/>
        <v>4124.2849999999999</v>
      </c>
      <c r="AA37" s="122">
        <f t="shared" si="34"/>
        <v>1153.8461538461538</v>
      </c>
      <c r="AB37" s="122">
        <f t="shared" si="35"/>
        <v>1538.4615384615386</v>
      </c>
      <c r="AC37" s="127" t="s">
        <v>112</v>
      </c>
      <c r="AD37" s="111">
        <f t="shared" si="4"/>
        <v>17127.305192307693</v>
      </c>
      <c r="AE37" s="112">
        <f t="shared" si="16"/>
        <v>11.4316031428781</v>
      </c>
      <c r="AF37" s="124">
        <f t="shared" si="43"/>
        <v>2.5559985953120763</v>
      </c>
      <c r="AG37" s="124">
        <f>(20000/26)/W37</f>
        <v>0.51290941711948024</v>
      </c>
      <c r="AH37" s="113">
        <f t="shared" si="20"/>
        <v>0.171875</v>
      </c>
      <c r="AI37" s="112">
        <f t="shared" si="12"/>
        <v>0.91682558310107087</v>
      </c>
      <c r="AJ37" s="127" t="s">
        <v>112</v>
      </c>
      <c r="AK37" s="122">
        <f t="shared" si="45"/>
        <v>9.5749999999999993</v>
      </c>
      <c r="AL37" s="127" t="s">
        <v>112</v>
      </c>
      <c r="AM37" s="122">
        <f t="shared" si="44"/>
        <v>4.4090605334554285</v>
      </c>
      <c r="AN37" s="127" t="s">
        <v>112</v>
      </c>
      <c r="AO37" s="127" t="s">
        <v>112</v>
      </c>
      <c r="AP37" s="114">
        <f t="shared" si="17"/>
        <v>18.141669128988056</v>
      </c>
      <c r="AQ37" s="128">
        <f t="shared" si="40"/>
        <v>19.23076923076923</v>
      </c>
      <c r="AR37" s="114">
        <f t="shared" si="18"/>
        <v>48.804041502635386</v>
      </c>
      <c r="AS37" s="122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  <c r="BM37" s="59"/>
      <c r="BN37" s="59"/>
      <c r="BO37" s="59"/>
      <c r="BP37" s="59"/>
      <c r="BQ37" s="59"/>
      <c r="BR37" s="59"/>
      <c r="BS37" s="59"/>
      <c r="BT37" s="59"/>
      <c r="BU37" s="59"/>
      <c r="BV37" s="59"/>
    </row>
    <row r="38" spans="1:74" s="125" customFormat="1" ht="21.75" customHeight="1" x14ac:dyDescent="0.35">
      <c r="A38" s="105" t="s">
        <v>220</v>
      </c>
      <c r="B38" s="105" t="s">
        <v>151</v>
      </c>
      <c r="C38" s="129" t="s">
        <v>195</v>
      </c>
      <c r="D38" s="129" t="s">
        <v>184</v>
      </c>
      <c r="E38" s="105" t="s">
        <v>155</v>
      </c>
      <c r="F38" s="105" t="s">
        <v>177</v>
      </c>
      <c r="G38" s="129">
        <v>20120007</v>
      </c>
      <c r="H38" s="130" t="s">
        <v>186</v>
      </c>
      <c r="I38" s="127" t="s">
        <v>161</v>
      </c>
      <c r="J38" s="129" t="s">
        <v>222</v>
      </c>
      <c r="K38" s="129" t="s">
        <v>166</v>
      </c>
      <c r="L38" s="132">
        <v>1</v>
      </c>
      <c r="M38" s="132" t="s">
        <v>167</v>
      </c>
      <c r="N38" s="122"/>
      <c r="O38" s="122"/>
      <c r="P38" s="122" t="s">
        <v>111</v>
      </c>
      <c r="Q38" s="122"/>
      <c r="R38" s="122"/>
      <c r="S38" s="110"/>
      <c r="T38" s="133">
        <v>125</v>
      </c>
      <c r="U38" s="133">
        <v>125</v>
      </c>
      <c r="V38" s="133">
        <v>137.5</v>
      </c>
      <c r="W38" s="110">
        <v>1499.74</v>
      </c>
      <c r="X38" s="127" t="s">
        <v>112</v>
      </c>
      <c r="Y38" s="83">
        <f t="shared" si="30"/>
        <v>10310.712500000001</v>
      </c>
      <c r="Z38" s="111">
        <f t="shared" si="1"/>
        <v>4124.2849999999999</v>
      </c>
      <c r="AA38" s="122">
        <f t="shared" si="34"/>
        <v>1153.8461538461538</v>
      </c>
      <c r="AB38" s="122">
        <f t="shared" si="35"/>
        <v>1538.4615384615386</v>
      </c>
      <c r="AC38" s="127" t="s">
        <v>112</v>
      </c>
      <c r="AD38" s="111">
        <f t="shared" si="4"/>
        <v>17127.305192307693</v>
      </c>
      <c r="AE38" s="112">
        <f t="shared" si="16"/>
        <v>11.4316031428781</v>
      </c>
      <c r="AF38" s="124">
        <f t="shared" si="43"/>
        <v>2.5559985953120763</v>
      </c>
      <c r="AG38" s="124">
        <f t="shared" si="37"/>
        <v>0.51290941711948024</v>
      </c>
      <c r="AH38" s="113">
        <f t="shared" si="20"/>
        <v>0.171875</v>
      </c>
      <c r="AI38" s="112">
        <f t="shared" si="12"/>
        <v>0.91682558310107087</v>
      </c>
      <c r="AJ38" s="127" t="s">
        <v>112</v>
      </c>
      <c r="AK38" s="122">
        <f t="shared" si="45"/>
        <v>9.5749999999999993</v>
      </c>
      <c r="AL38" s="127" t="s">
        <v>112</v>
      </c>
      <c r="AM38" s="122">
        <f t="shared" si="44"/>
        <v>4.4090605334554285</v>
      </c>
      <c r="AN38" s="127" t="s">
        <v>112</v>
      </c>
      <c r="AO38" s="127" t="s">
        <v>112</v>
      </c>
      <c r="AP38" s="114">
        <f t="shared" si="17"/>
        <v>18.141669128988056</v>
      </c>
      <c r="AQ38" s="128">
        <f t="shared" si="40"/>
        <v>19.23076923076923</v>
      </c>
      <c r="AR38" s="114">
        <f t="shared" si="18"/>
        <v>48.804041502635386</v>
      </c>
      <c r="AS38" s="122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59"/>
      <c r="BE38" s="59"/>
      <c r="BF38" s="59"/>
      <c r="BG38" s="59"/>
      <c r="BH38" s="59"/>
      <c r="BI38" s="59"/>
      <c r="BJ38" s="59"/>
      <c r="BK38" s="59"/>
      <c r="BL38" s="59"/>
      <c r="BM38" s="59"/>
      <c r="BN38" s="59"/>
      <c r="BO38" s="59"/>
      <c r="BP38" s="59"/>
      <c r="BQ38" s="59"/>
      <c r="BR38" s="59"/>
      <c r="BS38" s="59"/>
      <c r="BT38" s="59"/>
      <c r="BU38" s="59"/>
      <c r="BV38" s="59"/>
    </row>
    <row r="39" spans="1:74" s="125" customFormat="1" ht="18.75" customHeight="1" x14ac:dyDescent="0.35">
      <c r="A39" s="105" t="s">
        <v>221</v>
      </c>
      <c r="B39" s="105" t="s">
        <v>151</v>
      </c>
      <c r="C39" s="129" t="s">
        <v>195</v>
      </c>
      <c r="D39" s="129" t="s">
        <v>184</v>
      </c>
      <c r="E39" s="105" t="s">
        <v>155</v>
      </c>
      <c r="F39" s="105" t="s">
        <v>177</v>
      </c>
      <c r="G39" s="129">
        <v>20120007</v>
      </c>
      <c r="H39" s="130" t="s">
        <v>186</v>
      </c>
      <c r="I39" s="127" t="s">
        <v>161</v>
      </c>
      <c r="J39" s="129" t="s">
        <v>222</v>
      </c>
      <c r="K39" s="129" t="s">
        <v>166</v>
      </c>
      <c r="L39" s="132">
        <v>1</v>
      </c>
      <c r="M39" s="132" t="s">
        <v>167</v>
      </c>
      <c r="N39" s="122"/>
      <c r="O39" s="122"/>
      <c r="P39" s="122" t="s">
        <v>111</v>
      </c>
      <c r="Q39" s="122"/>
      <c r="R39" s="122"/>
      <c r="S39" s="110"/>
      <c r="T39" s="133">
        <v>125</v>
      </c>
      <c r="U39" s="133">
        <v>125</v>
      </c>
      <c r="V39" s="133">
        <v>137.5</v>
      </c>
      <c r="W39" s="110">
        <v>1499.74</v>
      </c>
      <c r="X39" s="127" t="s">
        <v>112</v>
      </c>
      <c r="Y39" s="83">
        <f t="shared" si="30"/>
        <v>10310.712500000001</v>
      </c>
      <c r="Z39" s="111">
        <f t="shared" si="1"/>
        <v>4124.2849999999999</v>
      </c>
      <c r="AA39" s="122">
        <f t="shared" si="34"/>
        <v>1153.8461538461538</v>
      </c>
      <c r="AB39" s="122">
        <f t="shared" si="35"/>
        <v>1538.4615384615386</v>
      </c>
      <c r="AC39" s="127" t="s">
        <v>112</v>
      </c>
      <c r="AD39" s="111">
        <f t="shared" si="4"/>
        <v>17127.305192307693</v>
      </c>
      <c r="AE39" s="112">
        <f t="shared" si="16"/>
        <v>11.4316031428781</v>
      </c>
      <c r="AF39" s="124">
        <f t="shared" si="43"/>
        <v>2.5559985953120763</v>
      </c>
      <c r="AG39" s="124">
        <f>(20000/26)/W39</f>
        <v>0.51290941711948024</v>
      </c>
      <c r="AH39" s="113">
        <f t="shared" si="20"/>
        <v>0.171875</v>
      </c>
      <c r="AI39" s="112">
        <f t="shared" si="12"/>
        <v>0.91682558310107087</v>
      </c>
      <c r="AJ39" s="127" t="s">
        <v>112</v>
      </c>
      <c r="AK39" s="122">
        <f>172.35/18</f>
        <v>9.5749999999999993</v>
      </c>
      <c r="AL39" s="127" t="s">
        <v>112</v>
      </c>
      <c r="AM39" s="122">
        <f t="shared" si="44"/>
        <v>4.4090605334554285</v>
      </c>
      <c r="AN39" s="127" t="s">
        <v>112</v>
      </c>
      <c r="AO39" s="127" t="s">
        <v>112</v>
      </c>
      <c r="AP39" s="114">
        <f t="shared" si="17"/>
        <v>18.141669128988056</v>
      </c>
      <c r="AQ39" s="128">
        <f t="shared" si="40"/>
        <v>19.23076923076923</v>
      </c>
      <c r="AR39" s="114">
        <f t="shared" si="18"/>
        <v>48.804041502635386</v>
      </c>
      <c r="AS39" s="122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  <c r="BE39" s="59"/>
      <c r="BF39" s="59"/>
      <c r="BG39" s="59"/>
      <c r="BH39" s="59"/>
      <c r="BI39" s="59"/>
      <c r="BJ39" s="59"/>
      <c r="BK39" s="59"/>
      <c r="BL39" s="59"/>
      <c r="BM39" s="59"/>
      <c r="BN39" s="59"/>
      <c r="BO39" s="59"/>
      <c r="BP39" s="59"/>
      <c r="BQ39" s="59"/>
      <c r="BR39" s="59"/>
      <c r="BS39" s="59"/>
      <c r="BT39" s="59"/>
      <c r="BU39" s="59"/>
      <c r="BV39" s="59"/>
    </row>
    <row r="40" spans="1:74" ht="24.75" customHeight="1" x14ac:dyDescent="0.35">
      <c r="A40" s="134"/>
      <c r="B40" s="134"/>
      <c r="C40" s="134"/>
      <c r="D40" s="134"/>
      <c r="E40" s="134"/>
      <c r="F40" s="134"/>
      <c r="G40" s="134"/>
      <c r="H40" s="134"/>
      <c r="I40" s="134"/>
      <c r="J40" s="134"/>
      <c r="K40" s="134"/>
      <c r="L40" s="134"/>
      <c r="M40" s="134"/>
      <c r="N40" s="134"/>
      <c r="O40" s="134"/>
      <c r="P40" s="134"/>
      <c r="Q40" s="134"/>
      <c r="R40" s="134"/>
      <c r="S40" s="135"/>
      <c r="T40" s="136">
        <f>SUM(T14:T39)</f>
        <v>77681</v>
      </c>
      <c r="U40" s="136">
        <f>SUM(U14:U39)</f>
        <v>77681</v>
      </c>
      <c r="V40" s="136">
        <f>SUM(V14:V39)</f>
        <v>85449.1</v>
      </c>
      <c r="W40" s="135"/>
      <c r="X40" s="134"/>
      <c r="Y40" s="136">
        <f>SUM(Y14:Y39)</f>
        <v>6407571.6617000066</v>
      </c>
      <c r="Z40" s="136">
        <f>SUM(Z14:Z39)</f>
        <v>2563028.6646800027</v>
      </c>
      <c r="AA40" s="134">
        <f>SUM(AA14:AA39)</f>
        <v>29999.999999999989</v>
      </c>
      <c r="AB40" s="134">
        <f>SUM(AB14:AB39)</f>
        <v>40000.000000000007</v>
      </c>
      <c r="AC40" s="134"/>
      <c r="AD40" s="137">
        <f t="shared" ref="AD40:AK40" si="46">SUM(AD14:AD39)</f>
        <v>9040600.3263800144</v>
      </c>
      <c r="AE40" s="138">
        <f t="shared" si="46"/>
        <v>6034.1398687148294</v>
      </c>
      <c r="AF40" s="139">
        <f>SUM(AF14:AF39)</f>
        <v>138.02392414685212</v>
      </c>
      <c r="AG40" s="139">
        <f t="shared" si="46"/>
        <v>13.33564484510649</v>
      </c>
      <c r="AH40" s="139">
        <f t="shared" si="46"/>
        <v>106.81137499999998</v>
      </c>
      <c r="AI40" s="139">
        <f t="shared" si="46"/>
        <v>569.75942496699406</v>
      </c>
      <c r="AJ40" s="139">
        <f t="shared" si="46"/>
        <v>7120</v>
      </c>
      <c r="AK40" s="139">
        <f t="shared" si="46"/>
        <v>172.34999999999997</v>
      </c>
      <c r="AL40" s="134"/>
      <c r="AM40" s="139">
        <f>SUM(AM14:AM39)</f>
        <v>2729.9649939322817</v>
      </c>
      <c r="AN40" s="134"/>
      <c r="AO40" s="134"/>
      <c r="AP40" s="139">
        <f>SUM(AP14:AP39)</f>
        <v>10850.245362891244</v>
      </c>
      <c r="AQ40" s="139">
        <f>SUM(AQ14:AQ39)</f>
        <v>499.99999999999994</v>
      </c>
      <c r="AR40" s="139">
        <f>SUM(AR14:AR39)</f>
        <v>17384.385231606095</v>
      </c>
      <c r="AS40" s="134"/>
    </row>
    <row r="41" spans="1:74" s="125" customFormat="1" ht="22.5" customHeight="1" x14ac:dyDescent="0.35">
      <c r="A41" s="105" t="s">
        <v>224</v>
      </c>
      <c r="B41" s="105" t="s">
        <v>151</v>
      </c>
      <c r="C41" s="129" t="s">
        <v>229</v>
      </c>
      <c r="D41" s="140" t="s">
        <v>230</v>
      </c>
      <c r="E41" s="105" t="s">
        <v>155</v>
      </c>
      <c r="F41" s="140" t="s">
        <v>235</v>
      </c>
      <c r="G41" s="140">
        <v>21010003</v>
      </c>
      <c r="H41" s="130" t="s">
        <v>236</v>
      </c>
      <c r="I41" s="140" t="s">
        <v>240</v>
      </c>
      <c r="J41" s="123" t="s">
        <v>242</v>
      </c>
      <c r="K41" s="129" t="s">
        <v>166</v>
      </c>
      <c r="L41" s="132">
        <v>1</v>
      </c>
      <c r="M41" s="132" t="s">
        <v>167</v>
      </c>
      <c r="N41" s="122" t="s">
        <v>245</v>
      </c>
      <c r="O41" s="122">
        <v>1</v>
      </c>
      <c r="P41" s="122" t="s">
        <v>111</v>
      </c>
      <c r="Q41" s="109">
        <v>44342</v>
      </c>
      <c r="R41" s="141">
        <v>100173940161</v>
      </c>
      <c r="S41" s="109">
        <v>44339</v>
      </c>
      <c r="T41" s="142">
        <v>4000</v>
      </c>
      <c r="U41" s="142">
        <v>4000</v>
      </c>
      <c r="V41" s="142">
        <v>4000</v>
      </c>
      <c r="W41" s="110">
        <v>1615.84</v>
      </c>
      <c r="X41" s="111">
        <f>V41*3%*W41</f>
        <v>193900.79999999999</v>
      </c>
      <c r="Y41" s="83">
        <f t="shared" si="30"/>
        <v>332863.04000000004</v>
      </c>
      <c r="Z41" s="111">
        <f t="shared" si="1"/>
        <v>129267.2</v>
      </c>
      <c r="AA41" s="122">
        <f>30000/5</f>
        <v>6000</v>
      </c>
      <c r="AB41" s="127" t="s">
        <v>112</v>
      </c>
      <c r="AC41" s="127" t="s">
        <v>112</v>
      </c>
      <c r="AD41" s="111">
        <f t="shared" si="4"/>
        <v>662031.04</v>
      </c>
      <c r="AE41" s="143">
        <f>AD41/W41</f>
        <v>409.71323893454803</v>
      </c>
      <c r="AF41" s="127" t="s">
        <v>112</v>
      </c>
      <c r="AG41" s="124">
        <f>(20000/5)/W41</f>
        <v>2.4754926230319834</v>
      </c>
      <c r="AH41" s="113">
        <f>V41*0.125%</f>
        <v>5</v>
      </c>
      <c r="AI41" s="112">
        <f t="shared" si="12"/>
        <v>24.754926230319835</v>
      </c>
      <c r="AJ41" s="127" t="s">
        <v>112</v>
      </c>
      <c r="AK41" s="127" t="s">
        <v>112</v>
      </c>
      <c r="AL41" s="127" t="s">
        <v>112</v>
      </c>
      <c r="AM41" s="122">
        <f>(1050000/W41)/5</f>
        <v>129.96336270917914</v>
      </c>
      <c r="AN41" s="127" t="s">
        <v>112</v>
      </c>
      <c r="AO41" s="127" t="s">
        <v>112</v>
      </c>
      <c r="AP41" s="114">
        <f t="shared" si="17"/>
        <v>162.19378156253094</v>
      </c>
      <c r="AQ41" s="122">
        <f>100/5</f>
        <v>20</v>
      </c>
      <c r="AR41" s="114">
        <f t="shared" si="18"/>
        <v>591.90702049707897</v>
      </c>
      <c r="AS41" s="122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59"/>
      <c r="BM41" s="59"/>
      <c r="BN41" s="59"/>
      <c r="BO41" s="59"/>
      <c r="BP41" s="59"/>
      <c r="BQ41" s="59"/>
      <c r="BR41" s="59"/>
      <c r="BS41" s="59"/>
      <c r="BT41" s="59"/>
      <c r="BU41" s="59"/>
      <c r="BV41" s="59"/>
    </row>
    <row r="42" spans="1:74" s="125" customFormat="1" ht="22.5" customHeight="1" x14ac:dyDescent="0.35">
      <c r="A42" s="105" t="s">
        <v>225</v>
      </c>
      <c r="B42" s="105" t="s">
        <v>151</v>
      </c>
      <c r="C42" s="129" t="s">
        <v>229</v>
      </c>
      <c r="D42" s="140" t="s">
        <v>231</v>
      </c>
      <c r="E42" s="105" t="s">
        <v>155</v>
      </c>
      <c r="F42" s="140" t="s">
        <v>235</v>
      </c>
      <c r="G42" s="140">
        <v>21010003</v>
      </c>
      <c r="H42" s="130" t="s">
        <v>237</v>
      </c>
      <c r="I42" s="140" t="s">
        <v>241</v>
      </c>
      <c r="J42" s="123" t="s">
        <v>242</v>
      </c>
      <c r="K42" s="129" t="s">
        <v>166</v>
      </c>
      <c r="L42" s="132">
        <v>1</v>
      </c>
      <c r="M42" s="132" t="s">
        <v>167</v>
      </c>
      <c r="N42" s="122"/>
      <c r="O42" s="122"/>
      <c r="P42" s="122"/>
      <c r="Q42" s="122"/>
      <c r="R42" s="122"/>
      <c r="S42" s="110"/>
      <c r="T42" s="142">
        <v>900</v>
      </c>
      <c r="U42" s="142">
        <v>900</v>
      </c>
      <c r="V42" s="142">
        <v>900</v>
      </c>
      <c r="W42" s="110">
        <v>1615.84</v>
      </c>
      <c r="X42" s="111">
        <f t="shared" ref="X42:X45" si="47">V42*3%*W42</f>
        <v>43627.68</v>
      </c>
      <c r="Y42" s="83">
        <f t="shared" si="30"/>
        <v>74894.183999999994</v>
      </c>
      <c r="Z42" s="111">
        <f t="shared" si="1"/>
        <v>29085.119999999999</v>
      </c>
      <c r="AA42" s="122">
        <f t="shared" ref="AA42:AA45" si="48">30000/5</f>
        <v>6000</v>
      </c>
      <c r="AB42" s="127" t="s">
        <v>112</v>
      </c>
      <c r="AC42" s="127" t="s">
        <v>112</v>
      </c>
      <c r="AD42" s="111">
        <f t="shared" si="4"/>
        <v>153606.984</v>
      </c>
      <c r="AE42" s="143">
        <f t="shared" ref="AE42:AE45" si="49">AD42/W42</f>
        <v>95.063238934547982</v>
      </c>
      <c r="AF42" s="127" t="s">
        <v>112</v>
      </c>
      <c r="AG42" s="124">
        <f t="shared" ref="AG42:AG45" si="50">(20000/5)/W42</f>
        <v>2.4754926230319834</v>
      </c>
      <c r="AH42" s="113">
        <f t="shared" si="20"/>
        <v>1.125</v>
      </c>
      <c r="AI42" s="112">
        <f t="shared" si="12"/>
        <v>5.5698584018219632</v>
      </c>
      <c r="AJ42" s="127" t="s">
        <v>112</v>
      </c>
      <c r="AK42" s="127" t="s">
        <v>112</v>
      </c>
      <c r="AL42" s="127" t="s">
        <v>112</v>
      </c>
      <c r="AM42" s="122">
        <f t="shared" ref="AM42:AM45" si="51">(1050000/W42)/5</f>
        <v>129.96336270917914</v>
      </c>
      <c r="AN42" s="127" t="s">
        <v>112</v>
      </c>
      <c r="AO42" s="127" t="s">
        <v>112</v>
      </c>
      <c r="AP42" s="114">
        <f t="shared" si="17"/>
        <v>139.13371373403308</v>
      </c>
      <c r="AQ42" s="122">
        <f t="shared" ref="AQ42:AQ45" si="52">100/5</f>
        <v>20</v>
      </c>
      <c r="AR42" s="114">
        <f t="shared" si="18"/>
        <v>254.19695266858105</v>
      </c>
      <c r="AS42" s="122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59"/>
      <c r="BM42" s="59"/>
      <c r="BN42" s="59"/>
      <c r="BO42" s="59"/>
      <c r="BP42" s="59"/>
      <c r="BQ42" s="59"/>
      <c r="BR42" s="59"/>
      <c r="BS42" s="59"/>
      <c r="BT42" s="59"/>
      <c r="BU42" s="59"/>
      <c r="BV42" s="59"/>
    </row>
    <row r="43" spans="1:74" s="125" customFormat="1" ht="22.5" customHeight="1" x14ac:dyDescent="0.35">
      <c r="A43" s="105" t="s">
        <v>226</v>
      </c>
      <c r="B43" s="105" t="s">
        <v>151</v>
      </c>
      <c r="C43" s="129" t="s">
        <v>229</v>
      </c>
      <c r="D43" s="140" t="s">
        <v>232</v>
      </c>
      <c r="E43" s="105" t="s">
        <v>155</v>
      </c>
      <c r="F43" s="140" t="s">
        <v>235</v>
      </c>
      <c r="G43" s="140">
        <v>21010003</v>
      </c>
      <c r="H43" s="130" t="s">
        <v>238</v>
      </c>
      <c r="I43" s="127" t="s">
        <v>161</v>
      </c>
      <c r="J43" s="123" t="s">
        <v>242</v>
      </c>
      <c r="K43" s="140" t="s">
        <v>243</v>
      </c>
      <c r="L43" s="132">
        <v>1</v>
      </c>
      <c r="M43" s="132" t="s">
        <v>167</v>
      </c>
      <c r="N43" s="122"/>
      <c r="O43" s="122"/>
      <c r="P43" s="122"/>
      <c r="Q43" s="122"/>
      <c r="R43" s="122"/>
      <c r="S43" s="110"/>
      <c r="T43" s="142">
        <v>150</v>
      </c>
      <c r="U43" s="142">
        <v>150</v>
      </c>
      <c r="V43" s="142">
        <v>150</v>
      </c>
      <c r="W43" s="110">
        <v>1615.84</v>
      </c>
      <c r="X43" s="111">
        <f>V43*7.5%*W43</f>
        <v>18178.2</v>
      </c>
      <c r="Y43" s="83">
        <f t="shared" si="30"/>
        <v>13027.710000000001</v>
      </c>
      <c r="Z43" s="111">
        <f t="shared" si="1"/>
        <v>4847.5199999999995</v>
      </c>
      <c r="AA43" s="122">
        <f t="shared" si="48"/>
        <v>6000</v>
      </c>
      <c r="AB43" s="127" t="s">
        <v>112</v>
      </c>
      <c r="AC43" s="127" t="s">
        <v>112</v>
      </c>
      <c r="AD43" s="111">
        <f t="shared" si="4"/>
        <v>42053.43</v>
      </c>
      <c r="AE43" s="143">
        <f t="shared" si="49"/>
        <v>26.025738934547977</v>
      </c>
      <c r="AF43" s="127" t="s">
        <v>112</v>
      </c>
      <c r="AG43" s="124">
        <f t="shared" si="50"/>
        <v>2.4754926230319834</v>
      </c>
      <c r="AH43" s="113">
        <f t="shared" si="20"/>
        <v>0.1875</v>
      </c>
      <c r="AI43" s="112">
        <f t="shared" si="12"/>
        <v>0.92830973363699376</v>
      </c>
      <c r="AJ43" s="127" t="s">
        <v>112</v>
      </c>
      <c r="AK43" s="127" t="s">
        <v>112</v>
      </c>
      <c r="AL43" s="127" t="s">
        <v>112</v>
      </c>
      <c r="AM43" s="122">
        <f t="shared" si="51"/>
        <v>129.96336270917914</v>
      </c>
      <c r="AN43" s="127" t="s">
        <v>112</v>
      </c>
      <c r="AO43" s="127" t="s">
        <v>112</v>
      </c>
      <c r="AP43" s="114">
        <f t="shared" si="17"/>
        <v>133.55466506584813</v>
      </c>
      <c r="AQ43" s="122">
        <f t="shared" si="52"/>
        <v>20</v>
      </c>
      <c r="AR43" s="114">
        <f t="shared" si="18"/>
        <v>179.5804040003961</v>
      </c>
      <c r="AS43" s="122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59"/>
      <c r="BM43" s="59"/>
      <c r="BN43" s="59"/>
      <c r="BO43" s="59"/>
      <c r="BP43" s="59"/>
      <c r="BQ43" s="59"/>
      <c r="BR43" s="59"/>
      <c r="BS43" s="59"/>
      <c r="BT43" s="59"/>
      <c r="BU43" s="59"/>
      <c r="BV43" s="59"/>
    </row>
    <row r="44" spans="1:74" s="125" customFormat="1" ht="22.5" customHeight="1" x14ac:dyDescent="0.35">
      <c r="A44" s="105" t="s">
        <v>227</v>
      </c>
      <c r="B44" s="105" t="s">
        <v>151</v>
      </c>
      <c r="C44" s="129" t="s">
        <v>229</v>
      </c>
      <c r="D44" s="140" t="s">
        <v>233</v>
      </c>
      <c r="E44" s="105" t="s">
        <v>155</v>
      </c>
      <c r="F44" s="140" t="s">
        <v>235</v>
      </c>
      <c r="G44" s="140">
        <v>21010003</v>
      </c>
      <c r="H44" s="130" t="s">
        <v>238</v>
      </c>
      <c r="I44" s="127" t="s">
        <v>161</v>
      </c>
      <c r="J44" s="123" t="s">
        <v>242</v>
      </c>
      <c r="K44" s="140" t="s">
        <v>243</v>
      </c>
      <c r="L44" s="132">
        <v>1</v>
      </c>
      <c r="M44" s="132" t="s">
        <v>167</v>
      </c>
      <c r="N44" s="122"/>
      <c r="O44" s="122"/>
      <c r="P44" s="122"/>
      <c r="Q44" s="122"/>
      <c r="R44" s="122"/>
      <c r="S44" s="110"/>
      <c r="T44" s="142">
        <v>150</v>
      </c>
      <c r="U44" s="142">
        <v>150</v>
      </c>
      <c r="V44" s="142">
        <v>150</v>
      </c>
      <c r="W44" s="110">
        <v>1615.84</v>
      </c>
      <c r="X44" s="111">
        <f>V44*7.5%*W44</f>
        <v>18178.2</v>
      </c>
      <c r="Y44" s="83">
        <f t="shared" si="30"/>
        <v>13027.710000000001</v>
      </c>
      <c r="Z44" s="111">
        <f t="shared" si="1"/>
        <v>4847.5199999999995</v>
      </c>
      <c r="AA44" s="122">
        <f t="shared" si="48"/>
        <v>6000</v>
      </c>
      <c r="AB44" s="127" t="s">
        <v>112</v>
      </c>
      <c r="AC44" s="127" t="s">
        <v>112</v>
      </c>
      <c r="AD44" s="111">
        <f t="shared" si="4"/>
        <v>42053.43</v>
      </c>
      <c r="AE44" s="143">
        <f t="shared" si="49"/>
        <v>26.025738934547977</v>
      </c>
      <c r="AF44" s="127" t="s">
        <v>112</v>
      </c>
      <c r="AG44" s="124">
        <f t="shared" si="50"/>
        <v>2.4754926230319834</v>
      </c>
      <c r="AH44" s="113">
        <f t="shared" si="20"/>
        <v>0.1875</v>
      </c>
      <c r="AI44" s="112">
        <f t="shared" si="12"/>
        <v>0.92830973363699376</v>
      </c>
      <c r="AJ44" s="127" t="s">
        <v>112</v>
      </c>
      <c r="AK44" s="127" t="s">
        <v>112</v>
      </c>
      <c r="AL44" s="127" t="s">
        <v>112</v>
      </c>
      <c r="AM44" s="122">
        <f t="shared" si="51"/>
        <v>129.96336270917914</v>
      </c>
      <c r="AN44" s="127" t="s">
        <v>112</v>
      </c>
      <c r="AO44" s="127" t="s">
        <v>112</v>
      </c>
      <c r="AP44" s="114">
        <f t="shared" si="17"/>
        <v>133.55466506584813</v>
      </c>
      <c r="AQ44" s="122">
        <f t="shared" si="52"/>
        <v>20</v>
      </c>
      <c r="AR44" s="114">
        <f t="shared" si="18"/>
        <v>179.5804040003961</v>
      </c>
      <c r="AS44" s="122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59"/>
      <c r="BM44" s="59"/>
      <c r="BN44" s="59"/>
      <c r="BO44" s="59"/>
      <c r="BP44" s="59"/>
      <c r="BQ44" s="59"/>
      <c r="BR44" s="59"/>
      <c r="BS44" s="59"/>
      <c r="BT44" s="59"/>
      <c r="BU44" s="59"/>
      <c r="BV44" s="59"/>
    </row>
    <row r="45" spans="1:74" s="125" customFormat="1" ht="22.5" customHeight="1" x14ac:dyDescent="0.35">
      <c r="A45" s="105" t="s">
        <v>228</v>
      </c>
      <c r="B45" s="105" t="s">
        <v>151</v>
      </c>
      <c r="C45" s="129" t="s">
        <v>229</v>
      </c>
      <c r="D45" s="140" t="s">
        <v>234</v>
      </c>
      <c r="E45" s="105" t="s">
        <v>155</v>
      </c>
      <c r="F45" s="140" t="s">
        <v>235</v>
      </c>
      <c r="G45" s="140">
        <v>21010003</v>
      </c>
      <c r="H45" s="130" t="s">
        <v>239</v>
      </c>
      <c r="I45" s="127" t="s">
        <v>161</v>
      </c>
      <c r="J45" s="123" t="s">
        <v>242</v>
      </c>
      <c r="K45" s="140" t="s">
        <v>244</v>
      </c>
      <c r="L45" s="132">
        <v>1</v>
      </c>
      <c r="M45" s="132" t="s">
        <v>167</v>
      </c>
      <c r="N45" s="122"/>
      <c r="O45" s="122"/>
      <c r="P45" s="122"/>
      <c r="Q45" s="122"/>
      <c r="R45" s="122"/>
      <c r="S45" s="110"/>
      <c r="T45" s="142">
        <v>1600</v>
      </c>
      <c r="U45" s="142">
        <v>1600</v>
      </c>
      <c r="V45" s="142">
        <v>1600</v>
      </c>
      <c r="W45" s="110">
        <v>1615.84</v>
      </c>
      <c r="X45" s="111">
        <f t="shared" si="47"/>
        <v>77560.319999999992</v>
      </c>
      <c r="Y45" s="83">
        <f t="shared" si="30"/>
        <v>133145.21599999999</v>
      </c>
      <c r="Z45" s="111">
        <f t="shared" si="1"/>
        <v>51706.879999999997</v>
      </c>
      <c r="AA45" s="122">
        <f t="shared" si="48"/>
        <v>6000</v>
      </c>
      <c r="AB45" s="127" t="s">
        <v>112</v>
      </c>
      <c r="AC45" s="127" t="s">
        <v>112</v>
      </c>
      <c r="AD45" s="111">
        <f t="shared" si="4"/>
        <v>268412.41599999997</v>
      </c>
      <c r="AE45" s="143">
        <f t="shared" si="49"/>
        <v>166.11323893454795</v>
      </c>
      <c r="AF45" s="127" t="s">
        <v>112</v>
      </c>
      <c r="AG45" s="124">
        <f t="shared" si="50"/>
        <v>2.4754926230319834</v>
      </c>
      <c r="AH45" s="113">
        <f t="shared" si="20"/>
        <v>2</v>
      </c>
      <c r="AI45" s="112">
        <f t="shared" si="12"/>
        <v>9.9019704921279335</v>
      </c>
      <c r="AJ45" s="127" t="s">
        <v>112</v>
      </c>
      <c r="AK45" s="127" t="s">
        <v>112</v>
      </c>
      <c r="AL45" s="127" t="s">
        <v>112</v>
      </c>
      <c r="AM45" s="122">
        <f t="shared" si="51"/>
        <v>129.96336270917914</v>
      </c>
      <c r="AN45" s="127" t="s">
        <v>112</v>
      </c>
      <c r="AO45" s="127" t="s">
        <v>112</v>
      </c>
      <c r="AP45" s="114">
        <f t="shared" si="17"/>
        <v>144.34082582433905</v>
      </c>
      <c r="AQ45" s="122">
        <f t="shared" si="52"/>
        <v>20</v>
      </c>
      <c r="AR45" s="114">
        <f t="shared" si="18"/>
        <v>330.454064758887</v>
      </c>
      <c r="AS45" s="122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59"/>
      <c r="BM45" s="59"/>
      <c r="BN45" s="59"/>
      <c r="BO45" s="59"/>
      <c r="BP45" s="59"/>
      <c r="BQ45" s="59"/>
      <c r="BR45" s="59"/>
      <c r="BS45" s="59"/>
      <c r="BT45" s="59"/>
      <c r="BU45" s="59"/>
      <c r="BV45" s="59"/>
    </row>
    <row r="46" spans="1:74" ht="22.5" customHeight="1" x14ac:dyDescent="0.35">
      <c r="A46" s="116"/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7"/>
      <c r="T46" s="119">
        <f>SUM(T41:T45)</f>
        <v>6800</v>
      </c>
      <c r="U46" s="119">
        <f>SUM(U41:U45)</f>
        <v>6800</v>
      </c>
      <c r="V46" s="119">
        <f>SUM(V41:V45)</f>
        <v>6800</v>
      </c>
      <c r="W46" s="117"/>
      <c r="X46" s="119">
        <f>SUM(X41:X45)</f>
        <v>351445.2</v>
      </c>
      <c r="Y46" s="119">
        <f>SUM(Y41:Y45)</f>
        <v>566957.8600000001</v>
      </c>
      <c r="Z46" s="119">
        <f>SUM(Z41:Z45)</f>
        <v>219754.23999999999</v>
      </c>
      <c r="AA46" s="119">
        <f>SUM(AA41:AA45)</f>
        <v>30000</v>
      </c>
      <c r="AB46" s="116"/>
      <c r="AC46" s="116"/>
      <c r="AD46" s="119">
        <f>SUM(AD41:AD45)</f>
        <v>1168157.3</v>
      </c>
      <c r="AE46" s="119">
        <f>SUM(AE41:AE45)</f>
        <v>722.94119467274004</v>
      </c>
      <c r="AF46" s="116"/>
      <c r="AG46" s="121">
        <f>SUM(AG41:AG45)</f>
        <v>12.377463115159916</v>
      </c>
      <c r="AH46" s="119">
        <f>SUM(AH41:AH45)</f>
        <v>8.5</v>
      </c>
      <c r="AI46" s="120">
        <f>SUM(AI41:AI45)</f>
        <v>42.083374591543716</v>
      </c>
      <c r="AJ46" s="116"/>
      <c r="AK46" s="116"/>
      <c r="AL46" s="116"/>
      <c r="AM46" s="120">
        <f>SUM(AM41:AM45)</f>
        <v>649.81681354589568</v>
      </c>
      <c r="AN46" s="116"/>
      <c r="AO46" s="116"/>
      <c r="AP46" s="120">
        <f>SUM(AP41:AP45)</f>
        <v>712.7776512525993</v>
      </c>
      <c r="AQ46" s="119">
        <f>SUM(AQ41:AQ45)</f>
        <v>100</v>
      </c>
      <c r="AR46" s="120">
        <f>SUM(AR41:AR45)</f>
        <v>1535.7188459253391</v>
      </c>
      <c r="AS46" s="116"/>
    </row>
    <row r="47" spans="1:74" s="125" customFormat="1" ht="24.75" customHeight="1" x14ac:dyDescent="0.35">
      <c r="A47" s="105" t="s">
        <v>246</v>
      </c>
      <c r="B47" s="129" t="s">
        <v>151</v>
      </c>
      <c r="C47" s="129" t="s">
        <v>293</v>
      </c>
      <c r="D47" s="140" t="s">
        <v>294</v>
      </c>
      <c r="E47" s="105" t="s">
        <v>155</v>
      </c>
      <c r="F47" s="140" t="s">
        <v>301</v>
      </c>
      <c r="G47" s="140">
        <v>21010002</v>
      </c>
      <c r="H47" s="130" t="s">
        <v>185</v>
      </c>
      <c r="I47" s="145" t="s">
        <v>309</v>
      </c>
      <c r="J47" s="129" t="s">
        <v>222</v>
      </c>
      <c r="K47" s="122" t="s">
        <v>166</v>
      </c>
      <c r="L47" s="122">
        <v>1</v>
      </c>
      <c r="M47" s="122" t="s">
        <v>167</v>
      </c>
      <c r="N47" s="122" t="s">
        <v>168</v>
      </c>
      <c r="O47" s="122">
        <v>1</v>
      </c>
      <c r="P47" s="122" t="s">
        <v>111</v>
      </c>
      <c r="Q47" s="109">
        <v>44438</v>
      </c>
      <c r="R47" s="141">
        <v>100180910063</v>
      </c>
      <c r="S47" s="109">
        <v>44431</v>
      </c>
      <c r="T47" s="142">
        <v>7097</v>
      </c>
      <c r="U47" s="142">
        <v>7097</v>
      </c>
      <c r="V47" s="146">
        <v>8377</v>
      </c>
      <c r="W47" s="110">
        <v>1647</v>
      </c>
      <c r="X47" s="127" t="s">
        <v>112</v>
      </c>
      <c r="Y47" s="83">
        <f t="shared" si="30"/>
        <v>689845.95000000007</v>
      </c>
      <c r="Z47" s="111">
        <f t="shared" si="1"/>
        <v>275938.38</v>
      </c>
      <c r="AA47" s="122">
        <f>30000/2</f>
        <v>15000</v>
      </c>
      <c r="AB47" s="122">
        <f>20000/2</f>
        <v>10000</v>
      </c>
      <c r="AC47" s="127" t="s">
        <v>112</v>
      </c>
      <c r="AD47" s="111">
        <f t="shared" si="4"/>
        <v>990784.33000000007</v>
      </c>
      <c r="AE47" s="112">
        <f t="shared" ref="AE47:AE114" si="53">(AD47/W47)+((AD47*0.1%)/W47)</f>
        <v>602.17068265330909</v>
      </c>
      <c r="AF47" s="124">
        <f>(99000/W47)/2</f>
        <v>30.05464480874317</v>
      </c>
      <c r="AG47" s="124">
        <f>(20000/47)/W47</f>
        <v>0.25836789003862598</v>
      </c>
      <c r="AH47" s="113">
        <f t="shared" ref="AH47:AH114" si="54">V47*0.125%</f>
        <v>10.47125</v>
      </c>
      <c r="AI47" s="112">
        <f t="shared" si="12"/>
        <v>50.862173649058896</v>
      </c>
      <c r="AJ47" s="122">
        <f>2500/2</f>
        <v>1250</v>
      </c>
      <c r="AK47" s="122">
        <f>60/2</f>
        <v>30</v>
      </c>
      <c r="AL47" s="127" t="s">
        <v>112</v>
      </c>
      <c r="AM47" s="122">
        <f>(991856/W47)/2</f>
        <v>301.10989678202793</v>
      </c>
      <c r="AN47" s="127" t="s">
        <v>112</v>
      </c>
      <c r="AO47" s="127" t="s">
        <v>112</v>
      </c>
      <c r="AP47" s="114">
        <f t="shared" si="17"/>
        <v>1672.7563331298688</v>
      </c>
      <c r="AQ47" s="122">
        <f>200/2</f>
        <v>100</v>
      </c>
      <c r="AR47" s="114">
        <f t="shared" si="18"/>
        <v>2374.9270157831779</v>
      </c>
      <c r="AS47" s="122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59"/>
      <c r="BQ47" s="59"/>
      <c r="BR47" s="59"/>
      <c r="BS47" s="59"/>
      <c r="BT47" s="59"/>
      <c r="BU47" s="59"/>
      <c r="BV47" s="59"/>
    </row>
    <row r="48" spans="1:74" s="125" customFormat="1" ht="24.75" customHeight="1" x14ac:dyDescent="0.35">
      <c r="A48" s="105" t="s">
        <v>247</v>
      </c>
      <c r="B48" s="129" t="s">
        <v>151</v>
      </c>
      <c r="C48" s="129" t="s">
        <v>293</v>
      </c>
      <c r="D48" s="140" t="s">
        <v>295</v>
      </c>
      <c r="E48" s="105" t="s">
        <v>155</v>
      </c>
      <c r="F48" s="140" t="s">
        <v>302</v>
      </c>
      <c r="G48" s="140">
        <v>21010001</v>
      </c>
      <c r="H48" s="130" t="s">
        <v>185</v>
      </c>
      <c r="I48" s="145" t="s">
        <v>310</v>
      </c>
      <c r="J48" s="129" t="s">
        <v>222</v>
      </c>
      <c r="K48" s="122" t="s">
        <v>166</v>
      </c>
      <c r="L48" s="122">
        <v>1</v>
      </c>
      <c r="M48" s="122" t="s">
        <v>167</v>
      </c>
      <c r="N48" s="122"/>
      <c r="O48" s="122"/>
      <c r="P48" s="122"/>
      <c r="Q48" s="122"/>
      <c r="R48" s="122"/>
      <c r="S48" s="110"/>
      <c r="T48" s="142">
        <v>8320</v>
      </c>
      <c r="U48" s="142">
        <v>8320</v>
      </c>
      <c r="V48" s="146">
        <v>9600</v>
      </c>
      <c r="W48" s="110">
        <v>1647</v>
      </c>
      <c r="X48" s="127" t="s">
        <v>112</v>
      </c>
      <c r="Y48" s="83">
        <f t="shared" si="30"/>
        <v>790560</v>
      </c>
      <c r="Z48" s="111">
        <f t="shared" si="1"/>
        <v>316224</v>
      </c>
      <c r="AA48" s="122">
        <f>30000/2</f>
        <v>15000</v>
      </c>
      <c r="AB48" s="122">
        <f>20000/2</f>
        <v>10000</v>
      </c>
      <c r="AC48" s="127" t="s">
        <v>112</v>
      </c>
      <c r="AD48" s="111">
        <f t="shared" si="4"/>
        <v>1131784</v>
      </c>
      <c r="AE48" s="112">
        <f t="shared" si="53"/>
        <v>687.86629265330907</v>
      </c>
      <c r="AF48" s="124">
        <f>(99000/W48)/2</f>
        <v>30.05464480874317</v>
      </c>
      <c r="AG48" s="124">
        <f>(20000/47)/W48</f>
        <v>0.25836789003862598</v>
      </c>
      <c r="AH48" s="113">
        <f t="shared" si="54"/>
        <v>12</v>
      </c>
      <c r="AI48" s="112">
        <f t="shared" si="12"/>
        <v>58.287795992714024</v>
      </c>
      <c r="AJ48" s="122">
        <f>2500/2</f>
        <v>1250</v>
      </c>
      <c r="AK48" s="122">
        <f>60/2</f>
        <v>30</v>
      </c>
      <c r="AL48" s="127" t="s">
        <v>112</v>
      </c>
      <c r="AM48" s="122">
        <f>(991856/W48)/2</f>
        <v>301.10989678202793</v>
      </c>
      <c r="AN48" s="127" t="s">
        <v>112</v>
      </c>
      <c r="AO48" s="127" t="s">
        <v>112</v>
      </c>
      <c r="AP48" s="114">
        <f t="shared" si="17"/>
        <v>1681.7107054735238</v>
      </c>
      <c r="AQ48" s="122">
        <f>200/2</f>
        <v>100</v>
      </c>
      <c r="AR48" s="114">
        <f t="shared" si="18"/>
        <v>2469.5769981268331</v>
      </c>
      <c r="AS48" s="122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59"/>
      <c r="BQ48" s="59"/>
      <c r="BR48" s="59"/>
      <c r="BS48" s="59"/>
      <c r="BT48" s="59"/>
      <c r="BU48" s="59"/>
      <c r="BV48" s="59"/>
    </row>
    <row r="49" spans="1:74" s="125" customFormat="1" ht="24.75" customHeight="1" x14ac:dyDescent="0.35">
      <c r="A49" s="105" t="s">
        <v>248</v>
      </c>
      <c r="B49" s="129" t="s">
        <v>151</v>
      </c>
      <c r="C49" s="129" t="s">
        <v>293</v>
      </c>
      <c r="D49" s="140" t="s">
        <v>296</v>
      </c>
      <c r="E49" s="105" t="s">
        <v>155</v>
      </c>
      <c r="F49" s="140" t="s">
        <v>303</v>
      </c>
      <c r="G49" s="140">
        <v>21060002</v>
      </c>
      <c r="H49" s="130" t="s">
        <v>304</v>
      </c>
      <c r="I49" s="122"/>
      <c r="J49" s="129" t="s">
        <v>311</v>
      </c>
      <c r="K49" s="122" t="s">
        <v>166</v>
      </c>
      <c r="L49" s="122">
        <v>1</v>
      </c>
      <c r="M49" s="122" t="s">
        <v>167</v>
      </c>
      <c r="N49" s="122"/>
      <c r="O49" s="122"/>
      <c r="P49" s="122"/>
      <c r="Q49" s="122"/>
      <c r="R49" s="122"/>
      <c r="S49" s="110"/>
      <c r="T49" s="142">
        <v>1.3</v>
      </c>
      <c r="U49" s="142">
        <v>1.3</v>
      </c>
      <c r="V49" s="142">
        <v>1.3</v>
      </c>
      <c r="W49" s="110">
        <v>1647</v>
      </c>
      <c r="X49" s="111">
        <f>V49*5%*W49</f>
        <v>107.05500000000001</v>
      </c>
      <c r="Y49" s="83">
        <f t="shared" si="30"/>
        <v>112.40774999999999</v>
      </c>
      <c r="Z49" s="111">
        <f t="shared" si="1"/>
        <v>42.822000000000003</v>
      </c>
      <c r="AA49" s="127" t="s">
        <v>112</v>
      </c>
      <c r="AB49" s="127" t="s">
        <v>112</v>
      </c>
      <c r="AC49" s="127">
        <v>375</v>
      </c>
      <c r="AD49" s="111">
        <f t="shared" si="4"/>
        <v>637.28475000000003</v>
      </c>
      <c r="AE49" s="112">
        <f t="shared" si="53"/>
        <v>0.38732363979963569</v>
      </c>
      <c r="AF49" s="127" t="s">
        <v>112</v>
      </c>
      <c r="AG49" s="124">
        <f t="shared" ref="AG49:AG93" si="55">(20000/47)/W49</f>
        <v>0.25836789003862598</v>
      </c>
      <c r="AH49" s="113">
        <f t="shared" si="54"/>
        <v>1.6250000000000001E-3</v>
      </c>
      <c r="AI49" s="112">
        <f t="shared" si="12"/>
        <v>7.893139040680024E-3</v>
      </c>
      <c r="AJ49" s="127" t="s">
        <v>112</v>
      </c>
      <c r="AK49" s="127" t="s">
        <v>112</v>
      </c>
      <c r="AL49" s="127" t="s">
        <v>112</v>
      </c>
      <c r="AM49" s="127" t="s">
        <v>112</v>
      </c>
      <c r="AN49" s="127" t="s">
        <v>112</v>
      </c>
      <c r="AO49" s="127" t="s">
        <v>112</v>
      </c>
      <c r="AP49" s="114">
        <f t="shared" si="17"/>
        <v>0.26788602907930598</v>
      </c>
      <c r="AQ49" s="127" t="s">
        <v>112</v>
      </c>
      <c r="AR49" s="114">
        <f t="shared" si="18"/>
        <v>0.65520966887894172</v>
      </c>
      <c r="AS49" s="122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</row>
    <row r="50" spans="1:74" s="125" customFormat="1" ht="24.75" customHeight="1" x14ac:dyDescent="0.35">
      <c r="A50" s="105" t="s">
        <v>249</v>
      </c>
      <c r="B50" s="129" t="s">
        <v>151</v>
      </c>
      <c r="C50" s="129" t="s">
        <v>293</v>
      </c>
      <c r="D50" s="140" t="s">
        <v>296</v>
      </c>
      <c r="E50" s="105" t="s">
        <v>155</v>
      </c>
      <c r="F50" s="140" t="s">
        <v>303</v>
      </c>
      <c r="G50" s="140">
        <v>21060002</v>
      </c>
      <c r="H50" s="130" t="s">
        <v>304</v>
      </c>
      <c r="I50" s="122"/>
      <c r="J50" s="129" t="s">
        <v>311</v>
      </c>
      <c r="K50" s="122" t="s">
        <v>166</v>
      </c>
      <c r="L50" s="122">
        <v>1</v>
      </c>
      <c r="M50" s="122" t="s">
        <v>167</v>
      </c>
      <c r="N50" s="122"/>
      <c r="O50" s="122"/>
      <c r="P50" s="122"/>
      <c r="Q50" s="122"/>
      <c r="R50" s="122"/>
      <c r="S50" s="110"/>
      <c r="T50" s="142">
        <v>1.3</v>
      </c>
      <c r="U50" s="142">
        <v>1.3</v>
      </c>
      <c r="V50" s="142">
        <v>1.3</v>
      </c>
      <c r="W50" s="110">
        <v>1647</v>
      </c>
      <c r="X50" s="111">
        <f t="shared" ref="X50:X93" si="56">V50*5%*W50</f>
        <v>107.05500000000001</v>
      </c>
      <c r="Y50" s="83">
        <f t="shared" si="30"/>
        <v>112.40774999999999</v>
      </c>
      <c r="Z50" s="111">
        <f t="shared" si="1"/>
        <v>42.822000000000003</v>
      </c>
      <c r="AA50" s="127" t="s">
        <v>112</v>
      </c>
      <c r="AB50" s="127" t="s">
        <v>112</v>
      </c>
      <c r="AC50" s="127" t="s">
        <v>112</v>
      </c>
      <c r="AD50" s="111">
        <f t="shared" si="4"/>
        <v>262.28475000000003</v>
      </c>
      <c r="AE50" s="112">
        <f t="shared" si="53"/>
        <v>0.15940925000000003</v>
      </c>
      <c r="AF50" s="127" t="s">
        <v>112</v>
      </c>
      <c r="AG50" s="124">
        <f t="shared" si="55"/>
        <v>0.25836789003862598</v>
      </c>
      <c r="AH50" s="113">
        <f t="shared" si="54"/>
        <v>1.6250000000000001E-3</v>
      </c>
      <c r="AI50" s="112">
        <f t="shared" si="12"/>
        <v>7.893139040680024E-3</v>
      </c>
      <c r="AJ50" s="127" t="s">
        <v>112</v>
      </c>
      <c r="AK50" s="127" t="s">
        <v>112</v>
      </c>
      <c r="AL50" s="127" t="s">
        <v>112</v>
      </c>
      <c r="AM50" s="127" t="s">
        <v>112</v>
      </c>
      <c r="AN50" s="127" t="s">
        <v>112</v>
      </c>
      <c r="AO50" s="127" t="s">
        <v>112</v>
      </c>
      <c r="AP50" s="114">
        <f t="shared" si="17"/>
        <v>0.26788602907930598</v>
      </c>
      <c r="AQ50" s="127" t="s">
        <v>112</v>
      </c>
      <c r="AR50" s="114">
        <f t="shared" si="18"/>
        <v>0.42729527907930598</v>
      </c>
      <c r="AS50" s="122"/>
      <c r="AT50" s="59"/>
      <c r="AU50" s="59"/>
      <c r="AV50" s="59"/>
      <c r="AW50" s="59"/>
      <c r="AX50" s="59"/>
      <c r="AY50" s="59"/>
      <c r="AZ50" s="59"/>
      <c r="BA50" s="59"/>
      <c r="BB50" s="59"/>
      <c r="BC50" s="59"/>
      <c r="BD50" s="59"/>
      <c r="BE50" s="59"/>
      <c r="BF50" s="59"/>
      <c r="BG50" s="59"/>
      <c r="BH50" s="59"/>
      <c r="BI50" s="59"/>
      <c r="BJ50" s="59"/>
      <c r="BK50" s="59"/>
      <c r="BL50" s="59"/>
      <c r="BM50" s="59"/>
      <c r="BN50" s="59"/>
      <c r="BO50" s="59"/>
      <c r="BP50" s="59"/>
      <c r="BQ50" s="59"/>
      <c r="BR50" s="59"/>
      <c r="BS50" s="59"/>
      <c r="BT50" s="59"/>
      <c r="BU50" s="59"/>
      <c r="BV50" s="59"/>
    </row>
    <row r="51" spans="1:74" s="125" customFormat="1" ht="24.75" customHeight="1" x14ac:dyDescent="0.35">
      <c r="A51" s="105" t="s">
        <v>250</v>
      </c>
      <c r="B51" s="129" t="s">
        <v>151</v>
      </c>
      <c r="C51" s="129" t="s">
        <v>293</v>
      </c>
      <c r="D51" s="140" t="s">
        <v>296</v>
      </c>
      <c r="E51" s="105" t="s">
        <v>155</v>
      </c>
      <c r="F51" s="140" t="s">
        <v>303</v>
      </c>
      <c r="G51" s="140">
        <v>21060002</v>
      </c>
      <c r="H51" s="130" t="s">
        <v>304</v>
      </c>
      <c r="I51" s="122"/>
      <c r="J51" s="129" t="s">
        <v>311</v>
      </c>
      <c r="K51" s="122" t="s">
        <v>166</v>
      </c>
      <c r="L51" s="122">
        <v>1</v>
      </c>
      <c r="M51" s="122" t="s">
        <v>167</v>
      </c>
      <c r="N51" s="122"/>
      <c r="O51" s="122"/>
      <c r="P51" s="122"/>
      <c r="Q51" s="122"/>
      <c r="R51" s="122"/>
      <c r="S51" s="110"/>
      <c r="T51" s="142">
        <v>1.3</v>
      </c>
      <c r="U51" s="142">
        <v>1.3</v>
      </c>
      <c r="V51" s="142">
        <v>1.3</v>
      </c>
      <c r="W51" s="110">
        <v>1647</v>
      </c>
      <c r="X51" s="111">
        <f t="shared" si="56"/>
        <v>107.05500000000001</v>
      </c>
      <c r="Y51" s="83">
        <f t="shared" si="30"/>
        <v>112.40774999999999</v>
      </c>
      <c r="Z51" s="111">
        <f t="shared" si="1"/>
        <v>42.822000000000003</v>
      </c>
      <c r="AA51" s="127" t="s">
        <v>112</v>
      </c>
      <c r="AB51" s="127" t="s">
        <v>112</v>
      </c>
      <c r="AC51" s="127" t="s">
        <v>112</v>
      </c>
      <c r="AD51" s="111">
        <f t="shared" si="4"/>
        <v>262.28475000000003</v>
      </c>
      <c r="AE51" s="112">
        <f t="shared" si="53"/>
        <v>0.15940925000000003</v>
      </c>
      <c r="AF51" s="127" t="s">
        <v>112</v>
      </c>
      <c r="AG51" s="124">
        <f t="shared" si="55"/>
        <v>0.25836789003862598</v>
      </c>
      <c r="AH51" s="113">
        <f t="shared" si="54"/>
        <v>1.6250000000000001E-3</v>
      </c>
      <c r="AI51" s="112">
        <f t="shared" si="12"/>
        <v>7.893139040680024E-3</v>
      </c>
      <c r="AJ51" s="127" t="s">
        <v>112</v>
      </c>
      <c r="AK51" s="127" t="s">
        <v>112</v>
      </c>
      <c r="AL51" s="127" t="s">
        <v>112</v>
      </c>
      <c r="AM51" s="127" t="s">
        <v>112</v>
      </c>
      <c r="AN51" s="127" t="s">
        <v>112</v>
      </c>
      <c r="AO51" s="127" t="s">
        <v>112</v>
      </c>
      <c r="AP51" s="114">
        <f t="shared" si="17"/>
        <v>0.26788602907930598</v>
      </c>
      <c r="AQ51" s="127" t="s">
        <v>112</v>
      </c>
      <c r="AR51" s="114">
        <f t="shared" si="18"/>
        <v>0.42729527907930598</v>
      </c>
      <c r="AS51" s="122"/>
      <c r="AT51" s="59"/>
      <c r="AU51" s="59"/>
      <c r="AV51" s="59"/>
      <c r="AW51" s="59"/>
      <c r="AX51" s="59"/>
      <c r="AY51" s="59"/>
      <c r="AZ51" s="59"/>
      <c r="BA51" s="59"/>
      <c r="BB51" s="59"/>
      <c r="BC51" s="59"/>
      <c r="BD51" s="59"/>
      <c r="BE51" s="59"/>
      <c r="BF51" s="59"/>
      <c r="BG51" s="59"/>
      <c r="BH51" s="59"/>
      <c r="BI51" s="59"/>
      <c r="BJ51" s="59"/>
      <c r="BK51" s="59"/>
      <c r="BL51" s="59"/>
      <c r="BM51" s="59"/>
      <c r="BN51" s="59"/>
      <c r="BO51" s="59"/>
      <c r="BP51" s="59"/>
      <c r="BQ51" s="59"/>
      <c r="BR51" s="59"/>
      <c r="BS51" s="59"/>
      <c r="BT51" s="59"/>
      <c r="BU51" s="59"/>
      <c r="BV51" s="59"/>
    </row>
    <row r="52" spans="1:74" s="125" customFormat="1" ht="24.75" customHeight="1" x14ac:dyDescent="0.35">
      <c r="A52" s="105" t="s">
        <v>251</v>
      </c>
      <c r="B52" s="129" t="s">
        <v>151</v>
      </c>
      <c r="C52" s="129" t="s">
        <v>293</v>
      </c>
      <c r="D52" s="140" t="s">
        <v>296</v>
      </c>
      <c r="E52" s="105" t="s">
        <v>155</v>
      </c>
      <c r="F52" s="140" t="s">
        <v>303</v>
      </c>
      <c r="G52" s="140">
        <v>21060002</v>
      </c>
      <c r="H52" s="130" t="s">
        <v>304</v>
      </c>
      <c r="I52" s="122"/>
      <c r="J52" s="129" t="s">
        <v>311</v>
      </c>
      <c r="K52" s="122" t="s">
        <v>166</v>
      </c>
      <c r="L52" s="122">
        <v>1</v>
      </c>
      <c r="M52" s="122" t="s">
        <v>167</v>
      </c>
      <c r="N52" s="122"/>
      <c r="O52" s="122"/>
      <c r="P52" s="122"/>
      <c r="Q52" s="122"/>
      <c r="R52" s="122"/>
      <c r="S52" s="110"/>
      <c r="T52" s="142">
        <v>1.3</v>
      </c>
      <c r="U52" s="142">
        <v>1.3</v>
      </c>
      <c r="V52" s="142">
        <v>1.3</v>
      </c>
      <c r="W52" s="110">
        <v>1647</v>
      </c>
      <c r="X52" s="111">
        <f t="shared" si="56"/>
        <v>107.05500000000001</v>
      </c>
      <c r="Y52" s="83">
        <f t="shared" si="30"/>
        <v>112.40774999999999</v>
      </c>
      <c r="Z52" s="111">
        <f t="shared" si="1"/>
        <v>42.822000000000003</v>
      </c>
      <c r="AA52" s="127" t="s">
        <v>112</v>
      </c>
      <c r="AB52" s="127" t="s">
        <v>112</v>
      </c>
      <c r="AC52" s="127" t="s">
        <v>112</v>
      </c>
      <c r="AD52" s="111">
        <f t="shared" si="4"/>
        <v>262.28475000000003</v>
      </c>
      <c r="AE52" s="112">
        <f t="shared" si="53"/>
        <v>0.15940925000000003</v>
      </c>
      <c r="AF52" s="127" t="s">
        <v>112</v>
      </c>
      <c r="AG52" s="124">
        <f t="shared" si="55"/>
        <v>0.25836789003862598</v>
      </c>
      <c r="AH52" s="113">
        <f t="shared" si="54"/>
        <v>1.6250000000000001E-3</v>
      </c>
      <c r="AI52" s="112">
        <f t="shared" si="12"/>
        <v>7.893139040680024E-3</v>
      </c>
      <c r="AJ52" s="127" t="s">
        <v>112</v>
      </c>
      <c r="AK52" s="127" t="s">
        <v>112</v>
      </c>
      <c r="AL52" s="127" t="s">
        <v>112</v>
      </c>
      <c r="AM52" s="127" t="s">
        <v>112</v>
      </c>
      <c r="AN52" s="127" t="s">
        <v>112</v>
      </c>
      <c r="AO52" s="127" t="s">
        <v>112</v>
      </c>
      <c r="AP52" s="114">
        <f t="shared" si="17"/>
        <v>0.26788602907930598</v>
      </c>
      <c r="AQ52" s="127" t="s">
        <v>112</v>
      </c>
      <c r="AR52" s="114">
        <f t="shared" si="18"/>
        <v>0.42729527907930598</v>
      </c>
      <c r="AS52" s="122"/>
      <c r="AT52" s="59"/>
      <c r="AU52" s="59"/>
      <c r="AV52" s="59"/>
      <c r="AW52" s="59"/>
      <c r="AX52" s="59"/>
      <c r="AY52" s="59"/>
      <c r="AZ52" s="59"/>
      <c r="BA52" s="59"/>
      <c r="BB52" s="59"/>
      <c r="BC52" s="59"/>
      <c r="BD52" s="59"/>
      <c r="BE52" s="59"/>
      <c r="BF52" s="59"/>
      <c r="BG52" s="59"/>
      <c r="BH52" s="59"/>
      <c r="BI52" s="59"/>
      <c r="BJ52" s="59"/>
      <c r="BK52" s="59"/>
      <c r="BL52" s="59"/>
      <c r="BM52" s="59"/>
      <c r="BN52" s="59"/>
      <c r="BO52" s="59"/>
      <c r="BP52" s="59"/>
      <c r="BQ52" s="59"/>
      <c r="BR52" s="59"/>
      <c r="BS52" s="59"/>
      <c r="BT52" s="59"/>
      <c r="BU52" s="59"/>
      <c r="BV52" s="59"/>
    </row>
    <row r="53" spans="1:74" s="125" customFormat="1" ht="24.75" customHeight="1" x14ac:dyDescent="0.35">
      <c r="A53" s="105" t="s">
        <v>252</v>
      </c>
      <c r="B53" s="129" t="s">
        <v>151</v>
      </c>
      <c r="C53" s="129" t="s">
        <v>293</v>
      </c>
      <c r="D53" s="140" t="s">
        <v>296</v>
      </c>
      <c r="E53" s="105" t="s">
        <v>155</v>
      </c>
      <c r="F53" s="140" t="s">
        <v>303</v>
      </c>
      <c r="G53" s="140">
        <v>21060002</v>
      </c>
      <c r="H53" s="130" t="s">
        <v>304</v>
      </c>
      <c r="I53" s="122"/>
      <c r="J53" s="129" t="s">
        <v>311</v>
      </c>
      <c r="K53" s="122" t="s">
        <v>166</v>
      </c>
      <c r="L53" s="122">
        <v>1</v>
      </c>
      <c r="M53" s="122" t="s">
        <v>167</v>
      </c>
      <c r="N53" s="122"/>
      <c r="O53" s="122"/>
      <c r="P53" s="122"/>
      <c r="Q53" s="122"/>
      <c r="R53" s="122"/>
      <c r="S53" s="110"/>
      <c r="T53" s="142">
        <v>1.3</v>
      </c>
      <c r="U53" s="142">
        <v>1.3</v>
      </c>
      <c r="V53" s="142">
        <v>1.3</v>
      </c>
      <c r="W53" s="110">
        <v>1647</v>
      </c>
      <c r="X53" s="111">
        <f t="shared" si="56"/>
        <v>107.05500000000001</v>
      </c>
      <c r="Y53" s="83">
        <f t="shared" si="30"/>
        <v>112.40774999999999</v>
      </c>
      <c r="Z53" s="111">
        <f t="shared" si="1"/>
        <v>42.822000000000003</v>
      </c>
      <c r="AA53" s="127" t="s">
        <v>112</v>
      </c>
      <c r="AB53" s="127" t="s">
        <v>112</v>
      </c>
      <c r="AC53" s="127" t="s">
        <v>112</v>
      </c>
      <c r="AD53" s="111">
        <f t="shared" si="4"/>
        <v>262.28475000000003</v>
      </c>
      <c r="AE53" s="112">
        <f t="shared" si="53"/>
        <v>0.15940925000000003</v>
      </c>
      <c r="AF53" s="127" t="s">
        <v>112</v>
      </c>
      <c r="AG53" s="124">
        <f t="shared" si="55"/>
        <v>0.25836789003862598</v>
      </c>
      <c r="AH53" s="113">
        <f t="shared" si="54"/>
        <v>1.6250000000000001E-3</v>
      </c>
      <c r="AI53" s="112">
        <f t="shared" si="12"/>
        <v>7.893139040680024E-3</v>
      </c>
      <c r="AJ53" s="127" t="s">
        <v>112</v>
      </c>
      <c r="AK53" s="127" t="s">
        <v>112</v>
      </c>
      <c r="AL53" s="127" t="s">
        <v>112</v>
      </c>
      <c r="AM53" s="127" t="s">
        <v>112</v>
      </c>
      <c r="AN53" s="127" t="s">
        <v>112</v>
      </c>
      <c r="AO53" s="127" t="s">
        <v>112</v>
      </c>
      <c r="AP53" s="114">
        <f t="shared" si="17"/>
        <v>0.26788602907930598</v>
      </c>
      <c r="AQ53" s="127" t="s">
        <v>112</v>
      </c>
      <c r="AR53" s="114">
        <f t="shared" si="18"/>
        <v>0.42729527907930598</v>
      </c>
      <c r="AS53" s="122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  <c r="BE53" s="59"/>
      <c r="BF53" s="59"/>
      <c r="BG53" s="59"/>
      <c r="BH53" s="59"/>
      <c r="BI53" s="59"/>
      <c r="BJ53" s="59"/>
      <c r="BK53" s="59"/>
      <c r="BL53" s="59"/>
      <c r="BM53" s="59"/>
      <c r="BN53" s="59"/>
      <c r="BO53" s="59"/>
      <c r="BP53" s="59"/>
      <c r="BQ53" s="59"/>
      <c r="BR53" s="59"/>
      <c r="BS53" s="59"/>
      <c r="BT53" s="59"/>
      <c r="BU53" s="59"/>
      <c r="BV53" s="59"/>
    </row>
    <row r="54" spans="1:74" s="125" customFormat="1" ht="24.75" customHeight="1" x14ac:dyDescent="0.35">
      <c r="A54" s="105" t="s">
        <v>253</v>
      </c>
      <c r="B54" s="129" t="s">
        <v>151</v>
      </c>
      <c r="C54" s="129" t="s">
        <v>293</v>
      </c>
      <c r="D54" s="140" t="s">
        <v>296</v>
      </c>
      <c r="E54" s="105" t="s">
        <v>155</v>
      </c>
      <c r="F54" s="140" t="s">
        <v>303</v>
      </c>
      <c r="G54" s="140">
        <v>21060002</v>
      </c>
      <c r="H54" s="130" t="s">
        <v>304</v>
      </c>
      <c r="I54" s="122"/>
      <c r="J54" s="129" t="s">
        <v>311</v>
      </c>
      <c r="K54" s="122" t="s">
        <v>166</v>
      </c>
      <c r="L54" s="122">
        <v>1</v>
      </c>
      <c r="M54" s="122" t="s">
        <v>167</v>
      </c>
      <c r="N54" s="122"/>
      <c r="O54" s="122"/>
      <c r="P54" s="122"/>
      <c r="Q54" s="122"/>
      <c r="R54" s="122"/>
      <c r="S54" s="110"/>
      <c r="T54" s="142">
        <v>1.3</v>
      </c>
      <c r="U54" s="142">
        <v>1.3</v>
      </c>
      <c r="V54" s="142">
        <v>1.3</v>
      </c>
      <c r="W54" s="110">
        <v>1647</v>
      </c>
      <c r="X54" s="111">
        <f t="shared" si="56"/>
        <v>107.05500000000001</v>
      </c>
      <c r="Y54" s="83">
        <f t="shared" si="30"/>
        <v>112.40774999999999</v>
      </c>
      <c r="Z54" s="111">
        <f t="shared" si="1"/>
        <v>42.822000000000003</v>
      </c>
      <c r="AA54" s="127" t="s">
        <v>112</v>
      </c>
      <c r="AB54" s="127" t="s">
        <v>112</v>
      </c>
      <c r="AC54" s="127" t="s">
        <v>112</v>
      </c>
      <c r="AD54" s="111">
        <f t="shared" si="4"/>
        <v>262.28475000000003</v>
      </c>
      <c r="AE54" s="112">
        <f t="shared" si="53"/>
        <v>0.15940925000000003</v>
      </c>
      <c r="AF54" s="127" t="s">
        <v>112</v>
      </c>
      <c r="AG54" s="124">
        <f t="shared" si="55"/>
        <v>0.25836789003862598</v>
      </c>
      <c r="AH54" s="113">
        <f t="shared" si="54"/>
        <v>1.6250000000000001E-3</v>
      </c>
      <c r="AI54" s="112">
        <f t="shared" si="12"/>
        <v>7.893139040680024E-3</v>
      </c>
      <c r="AJ54" s="127" t="s">
        <v>112</v>
      </c>
      <c r="AK54" s="127" t="s">
        <v>112</v>
      </c>
      <c r="AL54" s="127" t="s">
        <v>112</v>
      </c>
      <c r="AM54" s="127" t="s">
        <v>112</v>
      </c>
      <c r="AN54" s="127" t="s">
        <v>112</v>
      </c>
      <c r="AO54" s="127" t="s">
        <v>112</v>
      </c>
      <c r="AP54" s="114">
        <f t="shared" si="17"/>
        <v>0.26788602907930598</v>
      </c>
      <c r="AQ54" s="127" t="s">
        <v>112</v>
      </c>
      <c r="AR54" s="114">
        <f t="shared" si="18"/>
        <v>0.42729527907930598</v>
      </c>
      <c r="AS54" s="122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59"/>
      <c r="BM54" s="59"/>
      <c r="BN54" s="59"/>
      <c r="BO54" s="59"/>
      <c r="BP54" s="59"/>
      <c r="BQ54" s="59"/>
      <c r="BR54" s="59"/>
      <c r="BS54" s="59"/>
      <c r="BT54" s="59"/>
      <c r="BU54" s="59"/>
      <c r="BV54" s="59"/>
    </row>
    <row r="55" spans="1:74" s="125" customFormat="1" ht="24.75" customHeight="1" x14ac:dyDescent="0.35">
      <c r="A55" s="105" t="s">
        <v>254</v>
      </c>
      <c r="B55" s="129" t="s">
        <v>151</v>
      </c>
      <c r="C55" s="129" t="s">
        <v>293</v>
      </c>
      <c r="D55" s="140" t="s">
        <v>296</v>
      </c>
      <c r="E55" s="105" t="s">
        <v>155</v>
      </c>
      <c r="F55" s="140" t="s">
        <v>303</v>
      </c>
      <c r="G55" s="140">
        <v>21060002</v>
      </c>
      <c r="H55" s="130" t="s">
        <v>304</v>
      </c>
      <c r="I55" s="122"/>
      <c r="J55" s="129" t="s">
        <v>311</v>
      </c>
      <c r="K55" s="122" t="s">
        <v>166</v>
      </c>
      <c r="L55" s="122">
        <v>1</v>
      </c>
      <c r="M55" s="122" t="s">
        <v>167</v>
      </c>
      <c r="N55" s="122"/>
      <c r="O55" s="122"/>
      <c r="P55" s="122"/>
      <c r="Q55" s="122"/>
      <c r="R55" s="122"/>
      <c r="S55" s="110"/>
      <c r="T55" s="142">
        <v>1.3</v>
      </c>
      <c r="U55" s="142">
        <v>1.3</v>
      </c>
      <c r="V55" s="142">
        <v>1.3</v>
      </c>
      <c r="W55" s="110">
        <v>1647</v>
      </c>
      <c r="X55" s="111">
        <f t="shared" si="56"/>
        <v>107.05500000000001</v>
      </c>
      <c r="Y55" s="83">
        <f t="shared" si="30"/>
        <v>112.40774999999999</v>
      </c>
      <c r="Z55" s="111">
        <f t="shared" si="1"/>
        <v>42.822000000000003</v>
      </c>
      <c r="AA55" s="127" t="s">
        <v>112</v>
      </c>
      <c r="AB55" s="127" t="s">
        <v>112</v>
      </c>
      <c r="AC55" s="127" t="s">
        <v>112</v>
      </c>
      <c r="AD55" s="111">
        <f t="shared" si="4"/>
        <v>262.28475000000003</v>
      </c>
      <c r="AE55" s="112">
        <f t="shared" si="53"/>
        <v>0.15940925000000003</v>
      </c>
      <c r="AF55" s="127" t="s">
        <v>112</v>
      </c>
      <c r="AG55" s="124">
        <f t="shared" si="55"/>
        <v>0.25836789003862598</v>
      </c>
      <c r="AH55" s="113">
        <f t="shared" si="54"/>
        <v>1.6250000000000001E-3</v>
      </c>
      <c r="AI55" s="112">
        <f t="shared" si="12"/>
        <v>7.893139040680024E-3</v>
      </c>
      <c r="AJ55" s="127" t="s">
        <v>112</v>
      </c>
      <c r="AK55" s="127" t="s">
        <v>112</v>
      </c>
      <c r="AL55" s="127" t="s">
        <v>112</v>
      </c>
      <c r="AM55" s="127" t="s">
        <v>112</v>
      </c>
      <c r="AN55" s="127" t="s">
        <v>112</v>
      </c>
      <c r="AO55" s="127" t="s">
        <v>112</v>
      </c>
      <c r="AP55" s="114">
        <f t="shared" si="17"/>
        <v>0.26788602907930598</v>
      </c>
      <c r="AQ55" s="127" t="s">
        <v>112</v>
      </c>
      <c r="AR55" s="114">
        <f t="shared" si="18"/>
        <v>0.42729527907930598</v>
      </c>
      <c r="AS55" s="122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/>
      <c r="BO55" s="59"/>
      <c r="BP55" s="59"/>
      <c r="BQ55" s="59"/>
      <c r="BR55" s="59"/>
      <c r="BS55" s="59"/>
      <c r="BT55" s="59"/>
      <c r="BU55" s="59"/>
      <c r="BV55" s="59"/>
    </row>
    <row r="56" spans="1:74" s="125" customFormat="1" ht="24.75" customHeight="1" x14ac:dyDescent="0.35">
      <c r="A56" s="105" t="s">
        <v>255</v>
      </c>
      <c r="B56" s="129" t="s">
        <v>151</v>
      </c>
      <c r="C56" s="129" t="s">
        <v>293</v>
      </c>
      <c r="D56" s="140" t="s">
        <v>296</v>
      </c>
      <c r="E56" s="105" t="s">
        <v>155</v>
      </c>
      <c r="F56" s="140" t="s">
        <v>303</v>
      </c>
      <c r="G56" s="140">
        <v>21060002</v>
      </c>
      <c r="H56" s="130" t="s">
        <v>304</v>
      </c>
      <c r="I56" s="122"/>
      <c r="J56" s="129" t="s">
        <v>311</v>
      </c>
      <c r="K56" s="122" t="s">
        <v>166</v>
      </c>
      <c r="L56" s="122">
        <v>1</v>
      </c>
      <c r="M56" s="122" t="s">
        <v>167</v>
      </c>
      <c r="N56" s="122"/>
      <c r="O56" s="122"/>
      <c r="P56" s="122"/>
      <c r="Q56" s="122"/>
      <c r="R56" s="122"/>
      <c r="S56" s="110"/>
      <c r="T56" s="142">
        <v>1.3</v>
      </c>
      <c r="U56" s="142">
        <v>1.3</v>
      </c>
      <c r="V56" s="142">
        <v>1.3</v>
      </c>
      <c r="W56" s="110">
        <v>1647</v>
      </c>
      <c r="X56" s="111">
        <f t="shared" si="56"/>
        <v>107.05500000000001</v>
      </c>
      <c r="Y56" s="83">
        <f t="shared" si="30"/>
        <v>112.40774999999999</v>
      </c>
      <c r="Z56" s="111">
        <f t="shared" si="1"/>
        <v>42.822000000000003</v>
      </c>
      <c r="AA56" s="127" t="s">
        <v>112</v>
      </c>
      <c r="AB56" s="127" t="s">
        <v>112</v>
      </c>
      <c r="AC56" s="127" t="s">
        <v>112</v>
      </c>
      <c r="AD56" s="111">
        <f t="shared" si="4"/>
        <v>262.28475000000003</v>
      </c>
      <c r="AE56" s="112">
        <f t="shared" si="53"/>
        <v>0.15940925000000003</v>
      </c>
      <c r="AF56" s="127" t="s">
        <v>112</v>
      </c>
      <c r="AG56" s="124">
        <f t="shared" si="55"/>
        <v>0.25836789003862598</v>
      </c>
      <c r="AH56" s="113">
        <f t="shared" si="54"/>
        <v>1.6250000000000001E-3</v>
      </c>
      <c r="AI56" s="112">
        <f t="shared" si="12"/>
        <v>7.893139040680024E-3</v>
      </c>
      <c r="AJ56" s="127" t="s">
        <v>112</v>
      </c>
      <c r="AK56" s="127" t="s">
        <v>112</v>
      </c>
      <c r="AL56" s="127" t="s">
        <v>112</v>
      </c>
      <c r="AM56" s="127" t="s">
        <v>112</v>
      </c>
      <c r="AN56" s="127" t="s">
        <v>112</v>
      </c>
      <c r="AO56" s="127" t="s">
        <v>112</v>
      </c>
      <c r="AP56" s="114">
        <f t="shared" si="17"/>
        <v>0.26788602907930598</v>
      </c>
      <c r="AQ56" s="127" t="s">
        <v>112</v>
      </c>
      <c r="AR56" s="114">
        <f t="shared" si="18"/>
        <v>0.42729527907930598</v>
      </c>
      <c r="AS56" s="122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59"/>
      <c r="BM56" s="59"/>
      <c r="BN56" s="59"/>
      <c r="BO56" s="59"/>
      <c r="BP56" s="59"/>
      <c r="BQ56" s="59"/>
      <c r="BR56" s="59"/>
      <c r="BS56" s="59"/>
      <c r="BT56" s="59"/>
      <c r="BU56" s="59"/>
      <c r="BV56" s="59"/>
    </row>
    <row r="57" spans="1:74" s="125" customFormat="1" ht="24.75" customHeight="1" x14ac:dyDescent="0.35">
      <c r="A57" s="105" t="s">
        <v>256</v>
      </c>
      <c r="B57" s="129" t="s">
        <v>151</v>
      </c>
      <c r="C57" s="129" t="s">
        <v>293</v>
      </c>
      <c r="D57" s="140" t="s">
        <v>296</v>
      </c>
      <c r="E57" s="105" t="s">
        <v>155</v>
      </c>
      <c r="F57" s="140" t="s">
        <v>303</v>
      </c>
      <c r="G57" s="140">
        <v>21060002</v>
      </c>
      <c r="H57" s="130" t="s">
        <v>304</v>
      </c>
      <c r="I57" s="122"/>
      <c r="J57" s="129" t="s">
        <v>311</v>
      </c>
      <c r="K57" s="122" t="s">
        <v>166</v>
      </c>
      <c r="L57" s="122">
        <v>1</v>
      </c>
      <c r="M57" s="122" t="s">
        <v>167</v>
      </c>
      <c r="N57" s="122"/>
      <c r="O57" s="122"/>
      <c r="P57" s="122"/>
      <c r="Q57" s="122"/>
      <c r="R57" s="122"/>
      <c r="S57" s="110"/>
      <c r="T57" s="142">
        <v>1.3</v>
      </c>
      <c r="U57" s="142">
        <v>1.3</v>
      </c>
      <c r="V57" s="142">
        <v>1.3</v>
      </c>
      <c r="W57" s="110">
        <v>1647</v>
      </c>
      <c r="X57" s="111">
        <f t="shared" si="56"/>
        <v>107.05500000000001</v>
      </c>
      <c r="Y57" s="83">
        <f t="shared" si="30"/>
        <v>112.40774999999999</v>
      </c>
      <c r="Z57" s="111">
        <f t="shared" si="1"/>
        <v>42.822000000000003</v>
      </c>
      <c r="AA57" s="127" t="s">
        <v>112</v>
      </c>
      <c r="AB57" s="127" t="s">
        <v>112</v>
      </c>
      <c r="AC57" s="127" t="s">
        <v>112</v>
      </c>
      <c r="AD57" s="111">
        <f t="shared" si="4"/>
        <v>262.28475000000003</v>
      </c>
      <c r="AE57" s="112">
        <f t="shared" si="53"/>
        <v>0.15940925000000003</v>
      </c>
      <c r="AF57" s="127" t="s">
        <v>112</v>
      </c>
      <c r="AG57" s="124">
        <f t="shared" si="55"/>
        <v>0.25836789003862598</v>
      </c>
      <c r="AH57" s="113">
        <f t="shared" si="54"/>
        <v>1.6250000000000001E-3</v>
      </c>
      <c r="AI57" s="112">
        <f t="shared" si="12"/>
        <v>7.893139040680024E-3</v>
      </c>
      <c r="AJ57" s="127" t="s">
        <v>112</v>
      </c>
      <c r="AK57" s="127" t="s">
        <v>112</v>
      </c>
      <c r="AL57" s="127" t="s">
        <v>112</v>
      </c>
      <c r="AM57" s="127" t="s">
        <v>112</v>
      </c>
      <c r="AN57" s="127" t="s">
        <v>112</v>
      </c>
      <c r="AO57" s="127" t="s">
        <v>112</v>
      </c>
      <c r="AP57" s="114">
        <f t="shared" si="17"/>
        <v>0.26788602907930598</v>
      </c>
      <c r="AQ57" s="127" t="s">
        <v>112</v>
      </c>
      <c r="AR57" s="114">
        <f t="shared" si="18"/>
        <v>0.42729527907930598</v>
      </c>
      <c r="AS57" s="122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  <c r="BM57" s="59"/>
      <c r="BN57" s="59"/>
      <c r="BO57" s="59"/>
      <c r="BP57" s="59"/>
      <c r="BQ57" s="59"/>
      <c r="BR57" s="59"/>
      <c r="BS57" s="59"/>
      <c r="BT57" s="59"/>
      <c r="BU57" s="59"/>
      <c r="BV57" s="59"/>
    </row>
    <row r="58" spans="1:74" s="125" customFormat="1" ht="24.75" customHeight="1" x14ac:dyDescent="0.35">
      <c r="A58" s="105" t="s">
        <v>257</v>
      </c>
      <c r="B58" s="129" t="s">
        <v>151</v>
      </c>
      <c r="C58" s="129" t="s">
        <v>293</v>
      </c>
      <c r="D58" s="140" t="s">
        <v>296</v>
      </c>
      <c r="E58" s="105" t="s">
        <v>155</v>
      </c>
      <c r="F58" s="140" t="s">
        <v>303</v>
      </c>
      <c r="G58" s="140">
        <v>21060002</v>
      </c>
      <c r="H58" s="130" t="s">
        <v>304</v>
      </c>
      <c r="I58" s="122"/>
      <c r="J58" s="129" t="s">
        <v>311</v>
      </c>
      <c r="K58" s="122" t="s">
        <v>166</v>
      </c>
      <c r="L58" s="122">
        <v>1</v>
      </c>
      <c r="M58" s="122" t="s">
        <v>167</v>
      </c>
      <c r="N58" s="122"/>
      <c r="O58" s="122"/>
      <c r="P58" s="122"/>
      <c r="Q58" s="122"/>
      <c r="R58" s="122"/>
      <c r="S58" s="110"/>
      <c r="T58" s="142">
        <v>1.3</v>
      </c>
      <c r="U58" s="142">
        <v>1.3</v>
      </c>
      <c r="V58" s="142">
        <v>1.3</v>
      </c>
      <c r="W58" s="110">
        <v>1647</v>
      </c>
      <c r="X58" s="111">
        <f t="shared" si="56"/>
        <v>107.05500000000001</v>
      </c>
      <c r="Y58" s="83">
        <f t="shared" si="30"/>
        <v>112.40774999999999</v>
      </c>
      <c r="Z58" s="111">
        <f t="shared" si="1"/>
        <v>42.822000000000003</v>
      </c>
      <c r="AA58" s="127" t="s">
        <v>112</v>
      </c>
      <c r="AB58" s="127" t="s">
        <v>112</v>
      </c>
      <c r="AC58" s="127" t="s">
        <v>112</v>
      </c>
      <c r="AD58" s="111">
        <f t="shared" si="4"/>
        <v>262.28475000000003</v>
      </c>
      <c r="AE58" s="112">
        <f t="shared" si="53"/>
        <v>0.15940925000000003</v>
      </c>
      <c r="AF58" s="127" t="s">
        <v>112</v>
      </c>
      <c r="AG58" s="124">
        <f t="shared" si="55"/>
        <v>0.25836789003862598</v>
      </c>
      <c r="AH58" s="113">
        <f t="shared" si="54"/>
        <v>1.6250000000000001E-3</v>
      </c>
      <c r="AI58" s="112">
        <f t="shared" si="12"/>
        <v>7.893139040680024E-3</v>
      </c>
      <c r="AJ58" s="127" t="s">
        <v>112</v>
      </c>
      <c r="AK58" s="127" t="s">
        <v>112</v>
      </c>
      <c r="AL58" s="127" t="s">
        <v>112</v>
      </c>
      <c r="AM58" s="127" t="s">
        <v>112</v>
      </c>
      <c r="AN58" s="127" t="s">
        <v>112</v>
      </c>
      <c r="AO58" s="127" t="s">
        <v>112</v>
      </c>
      <c r="AP58" s="114">
        <f t="shared" si="17"/>
        <v>0.26788602907930598</v>
      </c>
      <c r="AQ58" s="127" t="s">
        <v>112</v>
      </c>
      <c r="AR58" s="114">
        <f t="shared" si="18"/>
        <v>0.42729527907930598</v>
      </c>
      <c r="AS58" s="122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  <c r="BE58" s="59"/>
      <c r="BF58" s="59"/>
      <c r="BG58" s="59"/>
      <c r="BH58" s="59"/>
      <c r="BI58" s="59"/>
      <c r="BJ58" s="59"/>
      <c r="BK58" s="59"/>
      <c r="BL58" s="59"/>
      <c r="BM58" s="59"/>
      <c r="BN58" s="59"/>
      <c r="BO58" s="59"/>
      <c r="BP58" s="59"/>
      <c r="BQ58" s="59"/>
      <c r="BR58" s="59"/>
      <c r="BS58" s="59"/>
      <c r="BT58" s="59"/>
      <c r="BU58" s="59"/>
      <c r="BV58" s="59"/>
    </row>
    <row r="59" spans="1:74" s="125" customFormat="1" ht="24.75" customHeight="1" x14ac:dyDescent="0.35">
      <c r="A59" s="105" t="s">
        <v>258</v>
      </c>
      <c r="B59" s="129" t="s">
        <v>151</v>
      </c>
      <c r="C59" s="129" t="s">
        <v>293</v>
      </c>
      <c r="D59" s="140" t="s">
        <v>297</v>
      </c>
      <c r="E59" s="105" t="s">
        <v>155</v>
      </c>
      <c r="F59" s="140" t="s">
        <v>303</v>
      </c>
      <c r="G59" s="140">
        <v>21060002</v>
      </c>
      <c r="H59" s="130" t="s">
        <v>305</v>
      </c>
      <c r="I59" s="122"/>
      <c r="J59" s="129" t="s">
        <v>311</v>
      </c>
      <c r="K59" s="122" t="s">
        <v>166</v>
      </c>
      <c r="L59" s="122">
        <v>1</v>
      </c>
      <c r="M59" s="122" t="s">
        <v>167</v>
      </c>
      <c r="N59" s="122"/>
      <c r="O59" s="122"/>
      <c r="P59" s="122"/>
      <c r="Q59" s="122"/>
      <c r="R59" s="122"/>
      <c r="S59" s="110"/>
      <c r="T59" s="142">
        <v>2.1</v>
      </c>
      <c r="U59" s="142">
        <v>2.1</v>
      </c>
      <c r="V59" s="142">
        <v>2.1</v>
      </c>
      <c r="W59" s="110">
        <v>1647</v>
      </c>
      <c r="X59" s="111">
        <f t="shared" si="56"/>
        <v>172.935</v>
      </c>
      <c r="Y59" s="83">
        <f t="shared" si="30"/>
        <v>181.58175000000003</v>
      </c>
      <c r="Z59" s="111">
        <f t="shared" si="1"/>
        <v>69.174000000000007</v>
      </c>
      <c r="AA59" s="127" t="s">
        <v>112</v>
      </c>
      <c r="AB59" s="127" t="s">
        <v>112</v>
      </c>
      <c r="AC59" s="127" t="s">
        <v>112</v>
      </c>
      <c r="AD59" s="111">
        <f t="shared" si="4"/>
        <v>423.69074999999998</v>
      </c>
      <c r="AE59" s="112">
        <f t="shared" si="53"/>
        <v>0.25750724999999997</v>
      </c>
      <c r="AF59" s="127" t="s">
        <v>112</v>
      </c>
      <c r="AG59" s="124">
        <f t="shared" si="55"/>
        <v>0.25836789003862598</v>
      </c>
      <c r="AH59" s="113">
        <f t="shared" si="54"/>
        <v>2.6250000000000002E-3</v>
      </c>
      <c r="AI59" s="112">
        <f t="shared" si="12"/>
        <v>1.2750455373406194E-2</v>
      </c>
      <c r="AJ59" s="127" t="s">
        <v>112</v>
      </c>
      <c r="AK59" s="127" t="s">
        <v>112</v>
      </c>
      <c r="AL59" s="127" t="s">
        <v>112</v>
      </c>
      <c r="AM59" s="127" t="s">
        <v>112</v>
      </c>
      <c r="AN59" s="127" t="s">
        <v>112</v>
      </c>
      <c r="AO59" s="127" t="s">
        <v>112</v>
      </c>
      <c r="AP59" s="114">
        <f t="shared" si="17"/>
        <v>0.27374334541203216</v>
      </c>
      <c r="AQ59" s="127" t="s">
        <v>112</v>
      </c>
      <c r="AR59" s="114">
        <f t="shared" si="18"/>
        <v>0.53125059541203212</v>
      </c>
      <c r="AS59" s="122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  <c r="BE59" s="59"/>
      <c r="BF59" s="59"/>
      <c r="BG59" s="59"/>
      <c r="BH59" s="59"/>
      <c r="BI59" s="59"/>
      <c r="BJ59" s="59"/>
      <c r="BK59" s="59"/>
      <c r="BL59" s="59"/>
      <c r="BM59" s="59"/>
      <c r="BN59" s="59"/>
      <c r="BO59" s="59"/>
      <c r="BP59" s="59"/>
      <c r="BQ59" s="59"/>
      <c r="BR59" s="59"/>
      <c r="BS59" s="59"/>
      <c r="BT59" s="59"/>
      <c r="BU59" s="59"/>
      <c r="BV59" s="59"/>
    </row>
    <row r="60" spans="1:74" s="125" customFormat="1" ht="24.75" customHeight="1" x14ac:dyDescent="0.35">
      <c r="A60" s="105" t="s">
        <v>259</v>
      </c>
      <c r="B60" s="129" t="s">
        <v>151</v>
      </c>
      <c r="C60" s="129" t="s">
        <v>293</v>
      </c>
      <c r="D60" s="140" t="s">
        <v>297</v>
      </c>
      <c r="E60" s="105" t="s">
        <v>155</v>
      </c>
      <c r="F60" s="140" t="s">
        <v>303</v>
      </c>
      <c r="G60" s="140">
        <v>21060002</v>
      </c>
      <c r="H60" s="130" t="s">
        <v>305</v>
      </c>
      <c r="I60" s="122"/>
      <c r="J60" s="129" t="s">
        <v>311</v>
      </c>
      <c r="K60" s="122" t="s">
        <v>166</v>
      </c>
      <c r="L60" s="122">
        <v>1</v>
      </c>
      <c r="M60" s="122" t="s">
        <v>167</v>
      </c>
      <c r="N60" s="122"/>
      <c r="O60" s="122"/>
      <c r="P60" s="122"/>
      <c r="Q60" s="122"/>
      <c r="R60" s="122"/>
      <c r="S60" s="110"/>
      <c r="T60" s="142">
        <v>2.1</v>
      </c>
      <c r="U60" s="142">
        <v>2.1</v>
      </c>
      <c r="V60" s="142">
        <v>2.1</v>
      </c>
      <c r="W60" s="110">
        <v>1647</v>
      </c>
      <c r="X60" s="111">
        <f t="shared" si="56"/>
        <v>172.935</v>
      </c>
      <c r="Y60" s="83">
        <f t="shared" si="30"/>
        <v>181.58175000000003</v>
      </c>
      <c r="Z60" s="111">
        <f t="shared" si="1"/>
        <v>69.174000000000007</v>
      </c>
      <c r="AA60" s="127" t="s">
        <v>112</v>
      </c>
      <c r="AB60" s="127" t="s">
        <v>112</v>
      </c>
      <c r="AC60" s="127" t="s">
        <v>112</v>
      </c>
      <c r="AD60" s="111">
        <f t="shared" si="4"/>
        <v>423.69074999999998</v>
      </c>
      <c r="AE60" s="112">
        <f t="shared" si="53"/>
        <v>0.25750724999999997</v>
      </c>
      <c r="AF60" s="127" t="s">
        <v>112</v>
      </c>
      <c r="AG60" s="124">
        <f t="shared" si="55"/>
        <v>0.25836789003862598</v>
      </c>
      <c r="AH60" s="113">
        <f t="shared" si="54"/>
        <v>2.6250000000000002E-3</v>
      </c>
      <c r="AI60" s="112">
        <f t="shared" si="12"/>
        <v>1.2750455373406194E-2</v>
      </c>
      <c r="AJ60" s="127" t="s">
        <v>112</v>
      </c>
      <c r="AK60" s="127" t="s">
        <v>112</v>
      </c>
      <c r="AL60" s="127" t="s">
        <v>112</v>
      </c>
      <c r="AM60" s="127" t="s">
        <v>112</v>
      </c>
      <c r="AN60" s="127" t="s">
        <v>112</v>
      </c>
      <c r="AO60" s="127" t="s">
        <v>112</v>
      </c>
      <c r="AP60" s="114">
        <f t="shared" si="17"/>
        <v>0.27374334541203216</v>
      </c>
      <c r="AQ60" s="127" t="s">
        <v>112</v>
      </c>
      <c r="AR60" s="114">
        <f t="shared" si="18"/>
        <v>0.53125059541203212</v>
      </c>
      <c r="AS60" s="122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</row>
    <row r="61" spans="1:74" s="125" customFormat="1" ht="24.75" customHeight="1" x14ac:dyDescent="0.35">
      <c r="A61" s="105" t="s">
        <v>260</v>
      </c>
      <c r="B61" s="129" t="s">
        <v>151</v>
      </c>
      <c r="C61" s="129" t="s">
        <v>293</v>
      </c>
      <c r="D61" s="140" t="s">
        <v>297</v>
      </c>
      <c r="E61" s="105" t="s">
        <v>155</v>
      </c>
      <c r="F61" s="140" t="s">
        <v>303</v>
      </c>
      <c r="G61" s="140">
        <v>21060002</v>
      </c>
      <c r="H61" s="130" t="s">
        <v>305</v>
      </c>
      <c r="I61" s="122"/>
      <c r="J61" s="129" t="s">
        <v>311</v>
      </c>
      <c r="K61" s="122" t="s">
        <v>166</v>
      </c>
      <c r="L61" s="122">
        <v>1</v>
      </c>
      <c r="M61" s="122" t="s">
        <v>167</v>
      </c>
      <c r="N61" s="122"/>
      <c r="O61" s="122"/>
      <c r="P61" s="122"/>
      <c r="Q61" s="122"/>
      <c r="R61" s="122"/>
      <c r="S61" s="110"/>
      <c r="T61" s="142">
        <v>2.1</v>
      </c>
      <c r="U61" s="142">
        <v>2.1</v>
      </c>
      <c r="V61" s="142">
        <v>2.1</v>
      </c>
      <c r="W61" s="110">
        <v>1647</v>
      </c>
      <c r="X61" s="111">
        <f t="shared" si="56"/>
        <v>172.935</v>
      </c>
      <c r="Y61" s="83">
        <f t="shared" si="30"/>
        <v>181.58175000000003</v>
      </c>
      <c r="Z61" s="111">
        <f t="shared" si="1"/>
        <v>69.174000000000007</v>
      </c>
      <c r="AA61" s="127" t="s">
        <v>112</v>
      </c>
      <c r="AB61" s="127" t="s">
        <v>112</v>
      </c>
      <c r="AC61" s="127" t="s">
        <v>112</v>
      </c>
      <c r="AD61" s="111">
        <f t="shared" si="4"/>
        <v>423.69074999999998</v>
      </c>
      <c r="AE61" s="112">
        <f t="shared" si="53"/>
        <v>0.25750724999999997</v>
      </c>
      <c r="AF61" s="127" t="s">
        <v>112</v>
      </c>
      <c r="AG61" s="124">
        <f t="shared" si="55"/>
        <v>0.25836789003862598</v>
      </c>
      <c r="AH61" s="113">
        <f t="shared" si="54"/>
        <v>2.6250000000000002E-3</v>
      </c>
      <c r="AI61" s="112">
        <f t="shared" si="12"/>
        <v>1.2750455373406194E-2</v>
      </c>
      <c r="AJ61" s="127" t="s">
        <v>112</v>
      </c>
      <c r="AK61" s="127" t="s">
        <v>112</v>
      </c>
      <c r="AL61" s="127" t="s">
        <v>112</v>
      </c>
      <c r="AM61" s="127" t="s">
        <v>112</v>
      </c>
      <c r="AN61" s="127" t="s">
        <v>112</v>
      </c>
      <c r="AO61" s="127" t="s">
        <v>112</v>
      </c>
      <c r="AP61" s="114">
        <f t="shared" si="17"/>
        <v>0.27374334541203216</v>
      </c>
      <c r="AQ61" s="127" t="s">
        <v>112</v>
      </c>
      <c r="AR61" s="114">
        <f t="shared" si="18"/>
        <v>0.53125059541203212</v>
      </c>
      <c r="AS61" s="122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</row>
    <row r="62" spans="1:74" s="125" customFormat="1" ht="24.75" customHeight="1" x14ac:dyDescent="0.35">
      <c r="A62" s="105" t="s">
        <v>261</v>
      </c>
      <c r="B62" s="129" t="s">
        <v>151</v>
      </c>
      <c r="C62" s="129" t="s">
        <v>293</v>
      </c>
      <c r="D62" s="140" t="s">
        <v>297</v>
      </c>
      <c r="E62" s="105" t="s">
        <v>155</v>
      </c>
      <c r="F62" s="140" t="s">
        <v>303</v>
      </c>
      <c r="G62" s="140">
        <v>21060002</v>
      </c>
      <c r="H62" s="130" t="s">
        <v>305</v>
      </c>
      <c r="I62" s="122"/>
      <c r="J62" s="129" t="s">
        <v>311</v>
      </c>
      <c r="K62" s="122" t="s">
        <v>166</v>
      </c>
      <c r="L62" s="122">
        <v>1</v>
      </c>
      <c r="M62" s="122" t="s">
        <v>167</v>
      </c>
      <c r="N62" s="122"/>
      <c r="O62" s="122"/>
      <c r="P62" s="122"/>
      <c r="Q62" s="122"/>
      <c r="R62" s="122"/>
      <c r="S62" s="110"/>
      <c r="T62" s="142">
        <v>2.1</v>
      </c>
      <c r="U62" s="142">
        <v>2.1</v>
      </c>
      <c r="V62" s="142">
        <v>2.1</v>
      </c>
      <c r="W62" s="110">
        <v>1647</v>
      </c>
      <c r="X62" s="111">
        <f t="shared" si="56"/>
        <v>172.935</v>
      </c>
      <c r="Y62" s="83">
        <f t="shared" si="30"/>
        <v>181.58175000000003</v>
      </c>
      <c r="Z62" s="111">
        <f t="shared" si="1"/>
        <v>69.174000000000007</v>
      </c>
      <c r="AA62" s="127" t="s">
        <v>112</v>
      </c>
      <c r="AB62" s="127" t="s">
        <v>112</v>
      </c>
      <c r="AC62" s="127" t="s">
        <v>112</v>
      </c>
      <c r="AD62" s="111">
        <f t="shared" si="4"/>
        <v>423.69074999999998</v>
      </c>
      <c r="AE62" s="112">
        <f t="shared" si="53"/>
        <v>0.25750724999999997</v>
      </c>
      <c r="AF62" s="127" t="s">
        <v>112</v>
      </c>
      <c r="AG62" s="124">
        <f t="shared" si="55"/>
        <v>0.25836789003862598</v>
      </c>
      <c r="AH62" s="113">
        <f t="shared" si="54"/>
        <v>2.6250000000000002E-3</v>
      </c>
      <c r="AI62" s="112">
        <f t="shared" si="12"/>
        <v>1.2750455373406194E-2</v>
      </c>
      <c r="AJ62" s="127" t="s">
        <v>112</v>
      </c>
      <c r="AK62" s="127" t="s">
        <v>112</v>
      </c>
      <c r="AL62" s="127" t="s">
        <v>112</v>
      </c>
      <c r="AM62" s="127" t="s">
        <v>112</v>
      </c>
      <c r="AN62" s="127" t="s">
        <v>112</v>
      </c>
      <c r="AO62" s="127" t="s">
        <v>112</v>
      </c>
      <c r="AP62" s="114">
        <f t="shared" si="17"/>
        <v>0.27374334541203216</v>
      </c>
      <c r="AQ62" s="127" t="s">
        <v>112</v>
      </c>
      <c r="AR62" s="114">
        <f t="shared" si="18"/>
        <v>0.53125059541203212</v>
      </c>
      <c r="AS62" s="122"/>
      <c r="AT62" s="59"/>
      <c r="AU62" s="59"/>
      <c r="AV62" s="59"/>
      <c r="AW62" s="59"/>
      <c r="AX62" s="59"/>
      <c r="AY62" s="59"/>
      <c r="AZ62" s="59"/>
      <c r="BA62" s="59"/>
      <c r="BB62" s="59"/>
      <c r="BC62" s="59"/>
      <c r="BD62" s="59"/>
      <c r="BE62" s="59"/>
      <c r="BF62" s="59"/>
      <c r="BG62" s="59"/>
      <c r="BH62" s="59"/>
      <c r="BI62" s="59"/>
      <c r="BJ62" s="59"/>
      <c r="BK62" s="59"/>
      <c r="BL62" s="59"/>
      <c r="BM62" s="59"/>
      <c r="BN62" s="59"/>
      <c r="BO62" s="59"/>
      <c r="BP62" s="59"/>
      <c r="BQ62" s="59"/>
      <c r="BR62" s="59"/>
      <c r="BS62" s="59"/>
      <c r="BT62" s="59"/>
      <c r="BU62" s="59"/>
      <c r="BV62" s="59"/>
    </row>
    <row r="63" spans="1:74" s="125" customFormat="1" ht="24.75" customHeight="1" x14ac:dyDescent="0.35">
      <c r="A63" s="105" t="s">
        <v>262</v>
      </c>
      <c r="B63" s="129" t="s">
        <v>151</v>
      </c>
      <c r="C63" s="129" t="s">
        <v>293</v>
      </c>
      <c r="D63" s="140" t="s">
        <v>297</v>
      </c>
      <c r="E63" s="105" t="s">
        <v>155</v>
      </c>
      <c r="F63" s="140" t="s">
        <v>303</v>
      </c>
      <c r="G63" s="140">
        <v>21060002</v>
      </c>
      <c r="H63" s="130" t="s">
        <v>305</v>
      </c>
      <c r="I63" s="122"/>
      <c r="J63" s="129" t="s">
        <v>311</v>
      </c>
      <c r="K63" s="122" t="s">
        <v>166</v>
      </c>
      <c r="L63" s="122">
        <v>1</v>
      </c>
      <c r="M63" s="122" t="s">
        <v>167</v>
      </c>
      <c r="N63" s="122"/>
      <c r="O63" s="122"/>
      <c r="P63" s="122"/>
      <c r="Q63" s="122"/>
      <c r="R63" s="122"/>
      <c r="S63" s="110"/>
      <c r="T63" s="142">
        <v>2.1</v>
      </c>
      <c r="U63" s="142">
        <v>2.1</v>
      </c>
      <c r="V63" s="142">
        <v>2.1</v>
      </c>
      <c r="W63" s="110">
        <v>1647</v>
      </c>
      <c r="X63" s="111">
        <f t="shared" si="56"/>
        <v>172.935</v>
      </c>
      <c r="Y63" s="83">
        <f t="shared" si="30"/>
        <v>181.58175000000003</v>
      </c>
      <c r="Z63" s="111">
        <f t="shared" si="1"/>
        <v>69.174000000000007</v>
      </c>
      <c r="AA63" s="127" t="s">
        <v>112</v>
      </c>
      <c r="AB63" s="127" t="s">
        <v>112</v>
      </c>
      <c r="AC63" s="127" t="s">
        <v>112</v>
      </c>
      <c r="AD63" s="111">
        <f t="shared" si="4"/>
        <v>423.69074999999998</v>
      </c>
      <c r="AE63" s="112">
        <f t="shared" si="53"/>
        <v>0.25750724999999997</v>
      </c>
      <c r="AF63" s="127" t="s">
        <v>112</v>
      </c>
      <c r="AG63" s="124">
        <f t="shared" si="55"/>
        <v>0.25836789003862598</v>
      </c>
      <c r="AH63" s="113">
        <f t="shared" si="54"/>
        <v>2.6250000000000002E-3</v>
      </c>
      <c r="AI63" s="112">
        <f t="shared" si="12"/>
        <v>1.2750455373406194E-2</v>
      </c>
      <c r="AJ63" s="127" t="s">
        <v>112</v>
      </c>
      <c r="AK63" s="127" t="s">
        <v>112</v>
      </c>
      <c r="AL63" s="127" t="s">
        <v>112</v>
      </c>
      <c r="AM63" s="127" t="s">
        <v>112</v>
      </c>
      <c r="AN63" s="127" t="s">
        <v>112</v>
      </c>
      <c r="AO63" s="127" t="s">
        <v>112</v>
      </c>
      <c r="AP63" s="114">
        <f t="shared" si="17"/>
        <v>0.27374334541203216</v>
      </c>
      <c r="AQ63" s="127" t="s">
        <v>112</v>
      </c>
      <c r="AR63" s="114">
        <f t="shared" si="18"/>
        <v>0.53125059541203212</v>
      </c>
      <c r="AS63" s="122"/>
      <c r="AT63" s="59"/>
      <c r="AU63" s="59"/>
      <c r="AV63" s="59"/>
      <c r="AW63" s="59"/>
      <c r="AX63" s="59"/>
      <c r="AY63" s="59"/>
      <c r="AZ63" s="59"/>
      <c r="BA63" s="59"/>
      <c r="BB63" s="59"/>
      <c r="BC63" s="59"/>
      <c r="BD63" s="59"/>
      <c r="BE63" s="59"/>
      <c r="BF63" s="59"/>
      <c r="BG63" s="59"/>
      <c r="BH63" s="59"/>
      <c r="BI63" s="59"/>
      <c r="BJ63" s="59"/>
      <c r="BK63" s="59"/>
      <c r="BL63" s="59"/>
      <c r="BM63" s="59"/>
      <c r="BN63" s="59"/>
      <c r="BO63" s="59"/>
      <c r="BP63" s="59"/>
      <c r="BQ63" s="59"/>
      <c r="BR63" s="59"/>
      <c r="BS63" s="59"/>
      <c r="BT63" s="59"/>
      <c r="BU63" s="59"/>
      <c r="BV63" s="59"/>
    </row>
    <row r="64" spans="1:74" s="125" customFormat="1" ht="24.75" customHeight="1" x14ac:dyDescent="0.35">
      <c r="A64" s="105" t="s">
        <v>263</v>
      </c>
      <c r="B64" s="129" t="s">
        <v>151</v>
      </c>
      <c r="C64" s="129" t="s">
        <v>293</v>
      </c>
      <c r="D64" s="140" t="s">
        <v>297</v>
      </c>
      <c r="E64" s="105" t="s">
        <v>155</v>
      </c>
      <c r="F64" s="140" t="s">
        <v>303</v>
      </c>
      <c r="G64" s="140">
        <v>21060002</v>
      </c>
      <c r="H64" s="130" t="s">
        <v>305</v>
      </c>
      <c r="I64" s="122"/>
      <c r="J64" s="129" t="s">
        <v>311</v>
      </c>
      <c r="K64" s="122" t="s">
        <v>166</v>
      </c>
      <c r="L64" s="122">
        <v>1</v>
      </c>
      <c r="M64" s="122" t="s">
        <v>167</v>
      </c>
      <c r="N64" s="122"/>
      <c r="O64" s="122"/>
      <c r="P64" s="122"/>
      <c r="Q64" s="122"/>
      <c r="R64" s="122"/>
      <c r="S64" s="110"/>
      <c r="T64" s="142">
        <v>2.1</v>
      </c>
      <c r="U64" s="142">
        <v>2.1</v>
      </c>
      <c r="V64" s="142">
        <v>2.1</v>
      </c>
      <c r="W64" s="110">
        <v>1647</v>
      </c>
      <c r="X64" s="111">
        <f t="shared" si="56"/>
        <v>172.935</v>
      </c>
      <c r="Y64" s="83">
        <f t="shared" si="30"/>
        <v>181.58175000000003</v>
      </c>
      <c r="Z64" s="111">
        <f t="shared" si="1"/>
        <v>69.174000000000007</v>
      </c>
      <c r="AA64" s="127" t="s">
        <v>112</v>
      </c>
      <c r="AB64" s="127" t="s">
        <v>112</v>
      </c>
      <c r="AC64" s="127" t="s">
        <v>112</v>
      </c>
      <c r="AD64" s="111">
        <f t="shared" si="4"/>
        <v>423.69074999999998</v>
      </c>
      <c r="AE64" s="112">
        <f t="shared" si="53"/>
        <v>0.25750724999999997</v>
      </c>
      <c r="AF64" s="127" t="s">
        <v>112</v>
      </c>
      <c r="AG64" s="124">
        <f t="shared" si="55"/>
        <v>0.25836789003862598</v>
      </c>
      <c r="AH64" s="113">
        <f t="shared" si="54"/>
        <v>2.6250000000000002E-3</v>
      </c>
      <c r="AI64" s="112">
        <f t="shared" si="12"/>
        <v>1.2750455373406194E-2</v>
      </c>
      <c r="AJ64" s="127" t="s">
        <v>112</v>
      </c>
      <c r="AK64" s="127" t="s">
        <v>112</v>
      </c>
      <c r="AL64" s="127" t="s">
        <v>112</v>
      </c>
      <c r="AM64" s="127" t="s">
        <v>112</v>
      </c>
      <c r="AN64" s="127" t="s">
        <v>112</v>
      </c>
      <c r="AO64" s="127" t="s">
        <v>112</v>
      </c>
      <c r="AP64" s="114">
        <f t="shared" si="17"/>
        <v>0.27374334541203216</v>
      </c>
      <c r="AQ64" s="127" t="s">
        <v>112</v>
      </c>
      <c r="AR64" s="114">
        <f t="shared" si="18"/>
        <v>0.53125059541203212</v>
      </c>
      <c r="AS64" s="122"/>
      <c r="AT64" s="59"/>
      <c r="AU64" s="59"/>
      <c r="AV64" s="59"/>
      <c r="AW64" s="59"/>
      <c r="AX64" s="59"/>
      <c r="AY64" s="59"/>
      <c r="AZ64" s="59"/>
      <c r="BA64" s="59"/>
      <c r="BB64" s="59"/>
      <c r="BC64" s="59"/>
      <c r="BD64" s="59"/>
      <c r="BE64" s="59"/>
      <c r="BF64" s="59"/>
      <c r="BG64" s="59"/>
      <c r="BH64" s="59"/>
      <c r="BI64" s="59"/>
      <c r="BJ64" s="59"/>
      <c r="BK64" s="59"/>
      <c r="BL64" s="59"/>
      <c r="BM64" s="59"/>
      <c r="BN64" s="59"/>
      <c r="BO64" s="59"/>
      <c r="BP64" s="59"/>
      <c r="BQ64" s="59"/>
      <c r="BR64" s="59"/>
      <c r="BS64" s="59"/>
      <c r="BT64" s="59"/>
      <c r="BU64" s="59"/>
      <c r="BV64" s="59"/>
    </row>
    <row r="65" spans="1:74" s="125" customFormat="1" ht="24.75" customHeight="1" x14ac:dyDescent="0.35">
      <c r="A65" s="105" t="s">
        <v>264</v>
      </c>
      <c r="B65" s="129" t="s">
        <v>151</v>
      </c>
      <c r="C65" s="129" t="s">
        <v>293</v>
      </c>
      <c r="D65" s="140" t="s">
        <v>297</v>
      </c>
      <c r="E65" s="105" t="s">
        <v>155</v>
      </c>
      <c r="F65" s="140" t="s">
        <v>303</v>
      </c>
      <c r="G65" s="140">
        <v>21060002</v>
      </c>
      <c r="H65" s="130" t="s">
        <v>305</v>
      </c>
      <c r="I65" s="122"/>
      <c r="J65" s="129" t="s">
        <v>311</v>
      </c>
      <c r="K65" s="122" t="s">
        <v>166</v>
      </c>
      <c r="L65" s="122">
        <v>1</v>
      </c>
      <c r="M65" s="122" t="s">
        <v>167</v>
      </c>
      <c r="N65" s="122"/>
      <c r="O65" s="122"/>
      <c r="P65" s="122"/>
      <c r="Q65" s="122"/>
      <c r="R65" s="122"/>
      <c r="S65" s="110"/>
      <c r="T65" s="142">
        <v>2.1</v>
      </c>
      <c r="U65" s="142">
        <v>2.1</v>
      </c>
      <c r="V65" s="142">
        <v>2.1</v>
      </c>
      <c r="W65" s="110">
        <v>1647</v>
      </c>
      <c r="X65" s="111">
        <f t="shared" si="56"/>
        <v>172.935</v>
      </c>
      <c r="Y65" s="83">
        <f t="shared" si="30"/>
        <v>181.58175000000003</v>
      </c>
      <c r="Z65" s="111">
        <f t="shared" si="1"/>
        <v>69.174000000000007</v>
      </c>
      <c r="AA65" s="127" t="s">
        <v>112</v>
      </c>
      <c r="AB65" s="127" t="s">
        <v>112</v>
      </c>
      <c r="AC65" s="127" t="s">
        <v>112</v>
      </c>
      <c r="AD65" s="111">
        <f t="shared" si="4"/>
        <v>423.69074999999998</v>
      </c>
      <c r="AE65" s="112">
        <f t="shared" si="53"/>
        <v>0.25750724999999997</v>
      </c>
      <c r="AF65" s="127" t="s">
        <v>112</v>
      </c>
      <c r="AG65" s="124">
        <f t="shared" si="55"/>
        <v>0.25836789003862598</v>
      </c>
      <c r="AH65" s="113">
        <f t="shared" si="54"/>
        <v>2.6250000000000002E-3</v>
      </c>
      <c r="AI65" s="112">
        <f t="shared" si="12"/>
        <v>1.2750455373406194E-2</v>
      </c>
      <c r="AJ65" s="127" t="s">
        <v>112</v>
      </c>
      <c r="AK65" s="127" t="s">
        <v>112</v>
      </c>
      <c r="AL65" s="127" t="s">
        <v>112</v>
      </c>
      <c r="AM65" s="127" t="s">
        <v>112</v>
      </c>
      <c r="AN65" s="127" t="s">
        <v>112</v>
      </c>
      <c r="AO65" s="127" t="s">
        <v>112</v>
      </c>
      <c r="AP65" s="114">
        <f t="shared" si="17"/>
        <v>0.27374334541203216</v>
      </c>
      <c r="AQ65" s="127" t="s">
        <v>112</v>
      </c>
      <c r="AR65" s="114">
        <f t="shared" si="18"/>
        <v>0.53125059541203212</v>
      </c>
      <c r="AS65" s="122"/>
      <c r="AT65" s="59"/>
      <c r="AU65" s="59"/>
      <c r="AV65" s="59"/>
      <c r="AW65" s="59"/>
      <c r="AX65" s="59"/>
      <c r="AY65" s="59"/>
      <c r="AZ65" s="59"/>
      <c r="BA65" s="59"/>
      <c r="BB65" s="59"/>
      <c r="BC65" s="59"/>
      <c r="BD65" s="59"/>
      <c r="BE65" s="59"/>
      <c r="BF65" s="59"/>
      <c r="BG65" s="59"/>
      <c r="BH65" s="59"/>
      <c r="BI65" s="59"/>
      <c r="BJ65" s="59"/>
      <c r="BK65" s="59"/>
      <c r="BL65" s="59"/>
      <c r="BM65" s="59"/>
      <c r="BN65" s="59"/>
      <c r="BO65" s="59"/>
      <c r="BP65" s="59"/>
      <c r="BQ65" s="59"/>
      <c r="BR65" s="59"/>
      <c r="BS65" s="59"/>
      <c r="BT65" s="59"/>
      <c r="BU65" s="59"/>
      <c r="BV65" s="59"/>
    </row>
    <row r="66" spans="1:74" s="125" customFormat="1" ht="24.75" customHeight="1" x14ac:dyDescent="0.35">
      <c r="A66" s="105" t="s">
        <v>265</v>
      </c>
      <c r="B66" s="129" t="s">
        <v>151</v>
      </c>
      <c r="C66" s="129" t="s">
        <v>293</v>
      </c>
      <c r="D66" s="140" t="s">
        <v>297</v>
      </c>
      <c r="E66" s="105" t="s">
        <v>155</v>
      </c>
      <c r="F66" s="140" t="s">
        <v>303</v>
      </c>
      <c r="G66" s="140">
        <v>21060002</v>
      </c>
      <c r="H66" s="130" t="s">
        <v>305</v>
      </c>
      <c r="I66" s="122"/>
      <c r="J66" s="129" t="s">
        <v>311</v>
      </c>
      <c r="K66" s="122" t="s">
        <v>166</v>
      </c>
      <c r="L66" s="122">
        <v>1</v>
      </c>
      <c r="M66" s="122" t="s">
        <v>167</v>
      </c>
      <c r="N66" s="122"/>
      <c r="O66" s="122"/>
      <c r="P66" s="122"/>
      <c r="Q66" s="122"/>
      <c r="R66" s="122"/>
      <c r="S66" s="110"/>
      <c r="T66" s="142">
        <v>2.1</v>
      </c>
      <c r="U66" s="142">
        <v>2.1</v>
      </c>
      <c r="V66" s="142">
        <v>2.1</v>
      </c>
      <c r="W66" s="110">
        <v>1647</v>
      </c>
      <c r="X66" s="111">
        <f t="shared" si="56"/>
        <v>172.935</v>
      </c>
      <c r="Y66" s="83">
        <f t="shared" si="30"/>
        <v>181.58175000000003</v>
      </c>
      <c r="Z66" s="111">
        <f t="shared" si="1"/>
        <v>69.174000000000007</v>
      </c>
      <c r="AA66" s="127" t="s">
        <v>112</v>
      </c>
      <c r="AB66" s="127" t="s">
        <v>112</v>
      </c>
      <c r="AC66" s="127" t="s">
        <v>112</v>
      </c>
      <c r="AD66" s="111">
        <f t="shared" si="4"/>
        <v>423.69074999999998</v>
      </c>
      <c r="AE66" s="112">
        <f t="shared" si="53"/>
        <v>0.25750724999999997</v>
      </c>
      <c r="AF66" s="127" t="s">
        <v>112</v>
      </c>
      <c r="AG66" s="124">
        <f t="shared" si="55"/>
        <v>0.25836789003862598</v>
      </c>
      <c r="AH66" s="113">
        <f t="shared" si="54"/>
        <v>2.6250000000000002E-3</v>
      </c>
      <c r="AI66" s="112">
        <f t="shared" si="12"/>
        <v>1.2750455373406194E-2</v>
      </c>
      <c r="AJ66" s="127" t="s">
        <v>112</v>
      </c>
      <c r="AK66" s="127" t="s">
        <v>112</v>
      </c>
      <c r="AL66" s="127" t="s">
        <v>112</v>
      </c>
      <c r="AM66" s="127" t="s">
        <v>112</v>
      </c>
      <c r="AN66" s="127" t="s">
        <v>112</v>
      </c>
      <c r="AO66" s="127" t="s">
        <v>112</v>
      </c>
      <c r="AP66" s="114">
        <f t="shared" si="17"/>
        <v>0.27374334541203216</v>
      </c>
      <c r="AQ66" s="127" t="s">
        <v>112</v>
      </c>
      <c r="AR66" s="114">
        <f t="shared" si="18"/>
        <v>0.53125059541203212</v>
      </c>
      <c r="AS66" s="122"/>
      <c r="AT66" s="59"/>
      <c r="AU66" s="59"/>
      <c r="AV66" s="59"/>
      <c r="AW66" s="59"/>
      <c r="AX66" s="59"/>
      <c r="AY66" s="59"/>
      <c r="AZ66" s="59"/>
      <c r="BA66" s="59"/>
      <c r="BB66" s="59"/>
      <c r="BC66" s="59"/>
      <c r="BD66" s="59"/>
      <c r="BE66" s="59"/>
      <c r="BF66" s="59"/>
      <c r="BG66" s="59"/>
      <c r="BH66" s="59"/>
      <c r="BI66" s="59"/>
      <c r="BJ66" s="59"/>
      <c r="BK66" s="59"/>
      <c r="BL66" s="59"/>
      <c r="BM66" s="59"/>
      <c r="BN66" s="59"/>
      <c r="BO66" s="59"/>
      <c r="BP66" s="59"/>
      <c r="BQ66" s="59"/>
      <c r="BR66" s="59"/>
      <c r="BS66" s="59"/>
      <c r="BT66" s="59"/>
      <c r="BU66" s="59"/>
      <c r="BV66" s="59"/>
    </row>
    <row r="67" spans="1:74" s="125" customFormat="1" ht="24.75" customHeight="1" x14ac:dyDescent="0.35">
      <c r="A67" s="105" t="s">
        <v>266</v>
      </c>
      <c r="B67" s="129" t="s">
        <v>151</v>
      </c>
      <c r="C67" s="129" t="s">
        <v>293</v>
      </c>
      <c r="D67" s="140" t="s">
        <v>297</v>
      </c>
      <c r="E67" s="105" t="s">
        <v>155</v>
      </c>
      <c r="F67" s="140" t="s">
        <v>303</v>
      </c>
      <c r="G67" s="140">
        <v>21060002</v>
      </c>
      <c r="H67" s="130" t="s">
        <v>305</v>
      </c>
      <c r="I67" s="122"/>
      <c r="J67" s="129" t="s">
        <v>311</v>
      </c>
      <c r="K67" s="122" t="s">
        <v>166</v>
      </c>
      <c r="L67" s="122">
        <v>1</v>
      </c>
      <c r="M67" s="122" t="s">
        <v>167</v>
      </c>
      <c r="N67" s="122"/>
      <c r="O67" s="122"/>
      <c r="P67" s="122"/>
      <c r="Q67" s="122"/>
      <c r="R67" s="122"/>
      <c r="S67" s="110"/>
      <c r="T67" s="142">
        <v>2.1</v>
      </c>
      <c r="U67" s="142">
        <v>2.1</v>
      </c>
      <c r="V67" s="142">
        <v>2.1</v>
      </c>
      <c r="W67" s="110">
        <v>1647</v>
      </c>
      <c r="X67" s="111">
        <f t="shared" si="56"/>
        <v>172.935</v>
      </c>
      <c r="Y67" s="83">
        <f t="shared" si="30"/>
        <v>181.58175000000003</v>
      </c>
      <c r="Z67" s="111">
        <f t="shared" ref="Z67:Z114" si="57">V67*2%*W67</f>
        <v>69.174000000000007</v>
      </c>
      <c r="AA67" s="127" t="s">
        <v>112</v>
      </c>
      <c r="AB67" s="127" t="s">
        <v>112</v>
      </c>
      <c r="AC67" s="127" t="s">
        <v>112</v>
      </c>
      <c r="AD67" s="111">
        <f t="shared" ref="AD67:AD130" si="58">X67+Y67+Z67+AA67+AB67+AC67</f>
        <v>423.69074999999998</v>
      </c>
      <c r="AE67" s="112">
        <f t="shared" si="53"/>
        <v>0.25750724999999997</v>
      </c>
      <c r="AF67" s="127" t="s">
        <v>112</v>
      </c>
      <c r="AG67" s="124">
        <f t="shared" si="55"/>
        <v>0.25836789003862598</v>
      </c>
      <c r="AH67" s="113">
        <f t="shared" si="54"/>
        <v>2.6250000000000002E-3</v>
      </c>
      <c r="AI67" s="112">
        <f t="shared" si="12"/>
        <v>1.2750455373406194E-2</v>
      </c>
      <c r="AJ67" s="127" t="s">
        <v>112</v>
      </c>
      <c r="AK67" s="127" t="s">
        <v>112</v>
      </c>
      <c r="AL67" s="127" t="s">
        <v>112</v>
      </c>
      <c r="AM67" s="127" t="s">
        <v>112</v>
      </c>
      <c r="AN67" s="127" t="s">
        <v>112</v>
      </c>
      <c r="AO67" s="127" t="s">
        <v>112</v>
      </c>
      <c r="AP67" s="114">
        <f t="shared" si="17"/>
        <v>0.27374334541203216</v>
      </c>
      <c r="AQ67" s="127" t="s">
        <v>112</v>
      </c>
      <c r="AR67" s="114">
        <f t="shared" si="18"/>
        <v>0.53125059541203212</v>
      </c>
      <c r="AS67" s="122"/>
      <c r="AT67" s="59"/>
      <c r="AU67" s="59"/>
      <c r="AV67" s="59"/>
      <c r="AW67" s="59"/>
      <c r="AX67" s="59"/>
      <c r="AY67" s="59"/>
      <c r="AZ67" s="59"/>
      <c r="BA67" s="59"/>
      <c r="BB67" s="59"/>
      <c r="BC67" s="59"/>
      <c r="BD67" s="59"/>
      <c r="BE67" s="59"/>
      <c r="BF67" s="59"/>
      <c r="BG67" s="59"/>
      <c r="BH67" s="59"/>
      <c r="BI67" s="59"/>
      <c r="BJ67" s="59"/>
      <c r="BK67" s="59"/>
      <c r="BL67" s="59"/>
      <c r="BM67" s="59"/>
      <c r="BN67" s="59"/>
      <c r="BO67" s="59"/>
      <c r="BP67" s="59"/>
      <c r="BQ67" s="59"/>
      <c r="BR67" s="59"/>
      <c r="BS67" s="59"/>
      <c r="BT67" s="59"/>
      <c r="BU67" s="59"/>
      <c r="BV67" s="59"/>
    </row>
    <row r="68" spans="1:74" s="125" customFormat="1" ht="24.75" customHeight="1" x14ac:dyDescent="0.35">
      <c r="A68" s="105" t="s">
        <v>267</v>
      </c>
      <c r="B68" s="129" t="s">
        <v>151</v>
      </c>
      <c r="C68" s="129" t="s">
        <v>293</v>
      </c>
      <c r="D68" s="140" t="s">
        <v>297</v>
      </c>
      <c r="E68" s="105" t="s">
        <v>155</v>
      </c>
      <c r="F68" s="140" t="s">
        <v>303</v>
      </c>
      <c r="G68" s="140">
        <v>21060002</v>
      </c>
      <c r="H68" s="130" t="s">
        <v>305</v>
      </c>
      <c r="I68" s="122"/>
      <c r="J68" s="129" t="s">
        <v>311</v>
      </c>
      <c r="K68" s="122" t="s">
        <v>166</v>
      </c>
      <c r="L68" s="122">
        <v>1</v>
      </c>
      <c r="M68" s="122" t="s">
        <v>167</v>
      </c>
      <c r="N68" s="122"/>
      <c r="O68" s="122"/>
      <c r="P68" s="122"/>
      <c r="Q68" s="122"/>
      <c r="R68" s="122"/>
      <c r="S68" s="110"/>
      <c r="T68" s="142">
        <v>2.1</v>
      </c>
      <c r="U68" s="142">
        <v>2.1</v>
      </c>
      <c r="V68" s="142">
        <v>2.1</v>
      </c>
      <c r="W68" s="110">
        <v>1647</v>
      </c>
      <c r="X68" s="111">
        <f t="shared" si="56"/>
        <v>172.935</v>
      </c>
      <c r="Y68" s="83">
        <f t="shared" si="30"/>
        <v>181.58175000000003</v>
      </c>
      <c r="Z68" s="111">
        <f t="shared" si="57"/>
        <v>69.174000000000007</v>
      </c>
      <c r="AA68" s="127" t="s">
        <v>112</v>
      </c>
      <c r="AB68" s="127" t="s">
        <v>112</v>
      </c>
      <c r="AC68" s="127" t="s">
        <v>112</v>
      </c>
      <c r="AD68" s="111">
        <f t="shared" si="58"/>
        <v>423.69074999999998</v>
      </c>
      <c r="AE68" s="112">
        <f t="shared" si="53"/>
        <v>0.25750724999999997</v>
      </c>
      <c r="AF68" s="127" t="s">
        <v>112</v>
      </c>
      <c r="AG68" s="124">
        <f t="shared" si="55"/>
        <v>0.25836789003862598</v>
      </c>
      <c r="AH68" s="113">
        <f t="shared" si="54"/>
        <v>2.6250000000000002E-3</v>
      </c>
      <c r="AI68" s="112">
        <f t="shared" ref="AI68:AI91" si="59">(V68*10)/W68</f>
        <v>1.2750455373406194E-2</v>
      </c>
      <c r="AJ68" s="127" t="s">
        <v>112</v>
      </c>
      <c r="AK68" s="127" t="s">
        <v>112</v>
      </c>
      <c r="AL68" s="127" t="s">
        <v>112</v>
      </c>
      <c r="AM68" s="127" t="s">
        <v>112</v>
      </c>
      <c r="AN68" s="127" t="s">
        <v>112</v>
      </c>
      <c r="AO68" s="127" t="s">
        <v>112</v>
      </c>
      <c r="AP68" s="114">
        <f t="shared" si="17"/>
        <v>0.27374334541203216</v>
      </c>
      <c r="AQ68" s="127" t="s">
        <v>112</v>
      </c>
      <c r="AR68" s="114">
        <f t="shared" si="18"/>
        <v>0.53125059541203212</v>
      </c>
      <c r="AS68" s="122"/>
      <c r="AT68" s="59"/>
      <c r="AU68" s="59"/>
      <c r="AV68" s="59"/>
      <c r="AW68" s="59"/>
      <c r="AX68" s="59"/>
      <c r="AY68" s="59"/>
      <c r="AZ68" s="59"/>
      <c r="BA68" s="59"/>
      <c r="BB68" s="59"/>
      <c r="BC68" s="59"/>
      <c r="BD68" s="59"/>
      <c r="BE68" s="59"/>
      <c r="BF68" s="59"/>
      <c r="BG68" s="59"/>
      <c r="BH68" s="59"/>
      <c r="BI68" s="59"/>
      <c r="BJ68" s="59"/>
      <c r="BK68" s="59"/>
      <c r="BL68" s="59"/>
      <c r="BM68" s="59"/>
      <c r="BN68" s="59"/>
      <c r="BO68" s="59"/>
      <c r="BP68" s="59"/>
      <c r="BQ68" s="59"/>
      <c r="BR68" s="59"/>
      <c r="BS68" s="59"/>
      <c r="BT68" s="59"/>
      <c r="BU68" s="59"/>
      <c r="BV68" s="59"/>
    </row>
    <row r="69" spans="1:74" s="125" customFormat="1" ht="24.75" customHeight="1" x14ac:dyDescent="0.35">
      <c r="A69" s="105" t="s">
        <v>268</v>
      </c>
      <c r="B69" s="129" t="s">
        <v>151</v>
      </c>
      <c r="C69" s="129" t="s">
        <v>293</v>
      </c>
      <c r="D69" s="140" t="s">
        <v>298</v>
      </c>
      <c r="E69" s="105" t="s">
        <v>155</v>
      </c>
      <c r="F69" s="140" t="s">
        <v>303</v>
      </c>
      <c r="G69" s="140">
        <v>21060002</v>
      </c>
      <c r="H69" s="130" t="s">
        <v>306</v>
      </c>
      <c r="I69" s="122"/>
      <c r="J69" s="129" t="s">
        <v>311</v>
      </c>
      <c r="K69" s="122" t="s">
        <v>166</v>
      </c>
      <c r="L69" s="122">
        <v>1</v>
      </c>
      <c r="M69" s="122" t="s">
        <v>167</v>
      </c>
      <c r="N69" s="122"/>
      <c r="O69" s="122"/>
      <c r="P69" s="122"/>
      <c r="Q69" s="122"/>
      <c r="R69" s="122"/>
      <c r="S69" s="110"/>
      <c r="T69" s="142">
        <v>3.3</v>
      </c>
      <c r="U69" s="142">
        <v>3.3</v>
      </c>
      <c r="V69" s="142">
        <v>3.3</v>
      </c>
      <c r="W69" s="110">
        <v>1647</v>
      </c>
      <c r="X69" s="111">
        <f t="shared" si="56"/>
        <v>271.755</v>
      </c>
      <c r="Y69" s="83">
        <f t="shared" si="30"/>
        <v>285.34274999999997</v>
      </c>
      <c r="Z69" s="111">
        <f t="shared" si="57"/>
        <v>108.702</v>
      </c>
      <c r="AA69" s="127" t="s">
        <v>112</v>
      </c>
      <c r="AB69" s="127" t="s">
        <v>112</v>
      </c>
      <c r="AC69" s="127" t="s">
        <v>112</v>
      </c>
      <c r="AD69" s="111">
        <f t="shared" si="58"/>
        <v>665.7997499999999</v>
      </c>
      <c r="AE69" s="112">
        <f t="shared" si="53"/>
        <v>0.40465424999999994</v>
      </c>
      <c r="AF69" s="127" t="s">
        <v>112</v>
      </c>
      <c r="AG69" s="124">
        <f t="shared" si="55"/>
        <v>0.25836789003862598</v>
      </c>
      <c r="AH69" s="113">
        <f t="shared" si="54"/>
        <v>4.1250000000000002E-3</v>
      </c>
      <c r="AI69" s="112">
        <f t="shared" si="59"/>
        <v>2.0036429872495445E-2</v>
      </c>
      <c r="AJ69" s="127" t="s">
        <v>112</v>
      </c>
      <c r="AK69" s="127" t="s">
        <v>112</v>
      </c>
      <c r="AL69" s="127" t="s">
        <v>112</v>
      </c>
      <c r="AM69" s="127" t="s">
        <v>112</v>
      </c>
      <c r="AN69" s="127" t="s">
        <v>112</v>
      </c>
      <c r="AO69" s="127" t="s">
        <v>112</v>
      </c>
      <c r="AP69" s="114">
        <f t="shared" si="17"/>
        <v>0.2825293199111214</v>
      </c>
      <c r="AQ69" s="127" t="s">
        <v>112</v>
      </c>
      <c r="AR69" s="114">
        <f t="shared" si="18"/>
        <v>0.68718356991112128</v>
      </c>
      <c r="AS69" s="122"/>
      <c r="AT69" s="59"/>
      <c r="AU69" s="59"/>
      <c r="AV69" s="59"/>
      <c r="AW69" s="59"/>
      <c r="AX69" s="59"/>
      <c r="AY69" s="59"/>
      <c r="AZ69" s="59"/>
      <c r="BA69" s="59"/>
      <c r="BB69" s="59"/>
      <c r="BC69" s="59"/>
      <c r="BD69" s="59"/>
      <c r="BE69" s="59"/>
      <c r="BF69" s="59"/>
      <c r="BG69" s="59"/>
      <c r="BH69" s="59"/>
      <c r="BI69" s="59"/>
      <c r="BJ69" s="59"/>
      <c r="BK69" s="59"/>
      <c r="BL69" s="59"/>
      <c r="BM69" s="59"/>
      <c r="BN69" s="59"/>
      <c r="BO69" s="59"/>
      <c r="BP69" s="59"/>
      <c r="BQ69" s="59"/>
      <c r="BR69" s="59"/>
      <c r="BS69" s="59"/>
      <c r="BT69" s="59"/>
      <c r="BU69" s="59"/>
      <c r="BV69" s="59"/>
    </row>
    <row r="70" spans="1:74" s="125" customFormat="1" ht="24.75" customHeight="1" x14ac:dyDescent="0.35">
      <c r="A70" s="105" t="s">
        <v>269</v>
      </c>
      <c r="B70" s="129" t="s">
        <v>151</v>
      </c>
      <c r="C70" s="129" t="s">
        <v>293</v>
      </c>
      <c r="D70" s="140" t="s">
        <v>298</v>
      </c>
      <c r="E70" s="105" t="s">
        <v>155</v>
      </c>
      <c r="F70" s="140" t="s">
        <v>303</v>
      </c>
      <c r="G70" s="140">
        <v>21060002</v>
      </c>
      <c r="H70" s="130" t="s">
        <v>306</v>
      </c>
      <c r="I70" s="122"/>
      <c r="J70" s="129" t="s">
        <v>311</v>
      </c>
      <c r="K70" s="122" t="s">
        <v>166</v>
      </c>
      <c r="L70" s="122">
        <v>1</v>
      </c>
      <c r="M70" s="122" t="s">
        <v>167</v>
      </c>
      <c r="N70" s="122"/>
      <c r="O70" s="122"/>
      <c r="P70" s="122"/>
      <c r="Q70" s="122"/>
      <c r="R70" s="122"/>
      <c r="S70" s="110"/>
      <c r="T70" s="142">
        <v>3.3</v>
      </c>
      <c r="U70" s="142">
        <v>3.3</v>
      </c>
      <c r="V70" s="142">
        <v>3.3</v>
      </c>
      <c r="W70" s="110">
        <v>1647</v>
      </c>
      <c r="X70" s="111">
        <f t="shared" si="56"/>
        <v>271.755</v>
      </c>
      <c r="Y70" s="83">
        <f t="shared" si="30"/>
        <v>285.34274999999997</v>
      </c>
      <c r="Z70" s="111">
        <f t="shared" si="57"/>
        <v>108.702</v>
      </c>
      <c r="AA70" s="127" t="s">
        <v>112</v>
      </c>
      <c r="AB70" s="127" t="s">
        <v>112</v>
      </c>
      <c r="AC70" s="127" t="s">
        <v>112</v>
      </c>
      <c r="AD70" s="111">
        <f t="shared" si="58"/>
        <v>665.7997499999999</v>
      </c>
      <c r="AE70" s="112">
        <f t="shared" si="53"/>
        <v>0.40465424999999994</v>
      </c>
      <c r="AF70" s="127" t="s">
        <v>112</v>
      </c>
      <c r="AG70" s="124">
        <f t="shared" si="55"/>
        <v>0.25836789003862598</v>
      </c>
      <c r="AH70" s="113">
        <f t="shared" si="54"/>
        <v>4.1250000000000002E-3</v>
      </c>
      <c r="AI70" s="112">
        <f t="shared" si="59"/>
        <v>2.0036429872495445E-2</v>
      </c>
      <c r="AJ70" s="127" t="s">
        <v>112</v>
      </c>
      <c r="AK70" s="127" t="s">
        <v>112</v>
      </c>
      <c r="AL70" s="127" t="s">
        <v>112</v>
      </c>
      <c r="AM70" s="127" t="s">
        <v>112</v>
      </c>
      <c r="AN70" s="127" t="s">
        <v>112</v>
      </c>
      <c r="AO70" s="127" t="s">
        <v>112</v>
      </c>
      <c r="AP70" s="114">
        <f t="shared" ref="AP70:AP93" si="60">SUM(AF70:AO70)</f>
        <v>0.2825293199111214</v>
      </c>
      <c r="AQ70" s="127" t="s">
        <v>112</v>
      </c>
      <c r="AR70" s="114">
        <f t="shared" ref="AR70:AR93" si="61">AE70+AP70+AQ70</f>
        <v>0.68718356991112128</v>
      </c>
      <c r="AS70" s="122"/>
      <c r="AT70" s="59"/>
      <c r="AU70" s="59"/>
      <c r="AV70" s="59"/>
      <c r="AW70" s="59"/>
      <c r="AX70" s="59"/>
      <c r="AY70" s="59"/>
      <c r="AZ70" s="59"/>
      <c r="BA70" s="59"/>
      <c r="BB70" s="59"/>
      <c r="BC70" s="59"/>
      <c r="BD70" s="59"/>
      <c r="BE70" s="59"/>
      <c r="BF70" s="59"/>
      <c r="BG70" s="59"/>
      <c r="BH70" s="59"/>
      <c r="BI70" s="59"/>
      <c r="BJ70" s="59"/>
      <c r="BK70" s="59"/>
      <c r="BL70" s="59"/>
      <c r="BM70" s="59"/>
      <c r="BN70" s="59"/>
      <c r="BO70" s="59"/>
      <c r="BP70" s="59"/>
      <c r="BQ70" s="59"/>
      <c r="BR70" s="59"/>
      <c r="BS70" s="59"/>
      <c r="BT70" s="59"/>
      <c r="BU70" s="59"/>
      <c r="BV70" s="59"/>
    </row>
    <row r="71" spans="1:74" s="125" customFormat="1" ht="24.75" customHeight="1" x14ac:dyDescent="0.35">
      <c r="A71" s="105" t="s">
        <v>270</v>
      </c>
      <c r="B71" s="129" t="s">
        <v>151</v>
      </c>
      <c r="C71" s="129" t="s">
        <v>293</v>
      </c>
      <c r="D71" s="140" t="s">
        <v>298</v>
      </c>
      <c r="E71" s="105" t="s">
        <v>155</v>
      </c>
      <c r="F71" s="140" t="s">
        <v>303</v>
      </c>
      <c r="G71" s="140">
        <v>21060002</v>
      </c>
      <c r="H71" s="130" t="s">
        <v>306</v>
      </c>
      <c r="I71" s="122"/>
      <c r="J71" s="129" t="s">
        <v>311</v>
      </c>
      <c r="K71" s="122" t="s">
        <v>166</v>
      </c>
      <c r="L71" s="122">
        <v>1</v>
      </c>
      <c r="M71" s="122" t="s">
        <v>167</v>
      </c>
      <c r="N71" s="122"/>
      <c r="O71" s="122"/>
      <c r="P71" s="122"/>
      <c r="Q71" s="122"/>
      <c r="R71" s="122"/>
      <c r="S71" s="110"/>
      <c r="T71" s="142">
        <v>3.3</v>
      </c>
      <c r="U71" s="142">
        <v>3.3</v>
      </c>
      <c r="V71" s="142">
        <v>3.3</v>
      </c>
      <c r="W71" s="110">
        <v>1647</v>
      </c>
      <c r="X71" s="111">
        <f t="shared" si="56"/>
        <v>271.755</v>
      </c>
      <c r="Y71" s="83">
        <f t="shared" si="30"/>
        <v>285.34274999999997</v>
      </c>
      <c r="Z71" s="111">
        <f t="shared" si="57"/>
        <v>108.702</v>
      </c>
      <c r="AA71" s="127" t="s">
        <v>112</v>
      </c>
      <c r="AB71" s="127" t="s">
        <v>112</v>
      </c>
      <c r="AC71" s="127" t="s">
        <v>112</v>
      </c>
      <c r="AD71" s="111">
        <f t="shared" si="58"/>
        <v>665.7997499999999</v>
      </c>
      <c r="AE71" s="112">
        <f t="shared" si="53"/>
        <v>0.40465424999999994</v>
      </c>
      <c r="AF71" s="127" t="s">
        <v>112</v>
      </c>
      <c r="AG71" s="124">
        <f t="shared" si="55"/>
        <v>0.25836789003862598</v>
      </c>
      <c r="AH71" s="113">
        <f t="shared" si="54"/>
        <v>4.1250000000000002E-3</v>
      </c>
      <c r="AI71" s="112">
        <f t="shared" si="59"/>
        <v>2.0036429872495445E-2</v>
      </c>
      <c r="AJ71" s="127" t="s">
        <v>112</v>
      </c>
      <c r="AK71" s="127" t="s">
        <v>112</v>
      </c>
      <c r="AL71" s="127" t="s">
        <v>112</v>
      </c>
      <c r="AM71" s="127" t="s">
        <v>112</v>
      </c>
      <c r="AN71" s="127" t="s">
        <v>112</v>
      </c>
      <c r="AO71" s="127" t="s">
        <v>112</v>
      </c>
      <c r="AP71" s="114">
        <f t="shared" si="60"/>
        <v>0.2825293199111214</v>
      </c>
      <c r="AQ71" s="127" t="s">
        <v>112</v>
      </c>
      <c r="AR71" s="114">
        <f t="shared" si="61"/>
        <v>0.68718356991112128</v>
      </c>
      <c r="AS71" s="122"/>
      <c r="AT71" s="59"/>
      <c r="AU71" s="59"/>
      <c r="AV71" s="59"/>
      <c r="AW71" s="59"/>
      <c r="AX71" s="59"/>
      <c r="AY71" s="59"/>
      <c r="AZ71" s="59"/>
      <c r="BA71" s="59"/>
      <c r="BB71" s="59"/>
      <c r="BC71" s="59"/>
      <c r="BD71" s="59"/>
      <c r="BE71" s="59"/>
      <c r="BF71" s="59"/>
      <c r="BG71" s="59"/>
      <c r="BH71" s="59"/>
      <c r="BI71" s="59"/>
      <c r="BJ71" s="59"/>
      <c r="BK71" s="59"/>
      <c r="BL71" s="59"/>
      <c r="BM71" s="59"/>
      <c r="BN71" s="59"/>
      <c r="BO71" s="59"/>
      <c r="BP71" s="59"/>
      <c r="BQ71" s="59"/>
      <c r="BR71" s="59"/>
      <c r="BS71" s="59"/>
      <c r="BT71" s="59"/>
      <c r="BU71" s="59"/>
      <c r="BV71" s="59"/>
    </row>
    <row r="72" spans="1:74" s="125" customFormat="1" ht="24.75" customHeight="1" x14ac:dyDescent="0.35">
      <c r="A72" s="105" t="s">
        <v>271</v>
      </c>
      <c r="B72" s="129" t="s">
        <v>151</v>
      </c>
      <c r="C72" s="129" t="s">
        <v>293</v>
      </c>
      <c r="D72" s="140" t="s">
        <v>298</v>
      </c>
      <c r="E72" s="105" t="s">
        <v>155</v>
      </c>
      <c r="F72" s="140" t="s">
        <v>303</v>
      </c>
      <c r="G72" s="140">
        <v>21060002</v>
      </c>
      <c r="H72" s="130" t="s">
        <v>306</v>
      </c>
      <c r="I72" s="122"/>
      <c r="J72" s="129" t="s">
        <v>311</v>
      </c>
      <c r="K72" s="122" t="s">
        <v>166</v>
      </c>
      <c r="L72" s="122">
        <v>1</v>
      </c>
      <c r="M72" s="122" t="s">
        <v>167</v>
      </c>
      <c r="N72" s="122"/>
      <c r="O72" s="122"/>
      <c r="P72" s="122"/>
      <c r="Q72" s="122"/>
      <c r="R72" s="122"/>
      <c r="S72" s="110"/>
      <c r="T72" s="142">
        <v>3.3</v>
      </c>
      <c r="U72" s="142">
        <v>3.3</v>
      </c>
      <c r="V72" s="142">
        <v>3.3</v>
      </c>
      <c r="W72" s="110">
        <v>1647</v>
      </c>
      <c r="X72" s="111">
        <f t="shared" si="56"/>
        <v>271.755</v>
      </c>
      <c r="Y72" s="83">
        <f t="shared" si="30"/>
        <v>285.34274999999997</v>
      </c>
      <c r="Z72" s="111">
        <f t="shared" si="57"/>
        <v>108.702</v>
      </c>
      <c r="AA72" s="127" t="s">
        <v>112</v>
      </c>
      <c r="AB72" s="127" t="s">
        <v>112</v>
      </c>
      <c r="AC72" s="127" t="s">
        <v>112</v>
      </c>
      <c r="AD72" s="111">
        <f t="shared" si="58"/>
        <v>665.7997499999999</v>
      </c>
      <c r="AE72" s="112">
        <f t="shared" si="53"/>
        <v>0.40465424999999994</v>
      </c>
      <c r="AF72" s="127" t="s">
        <v>112</v>
      </c>
      <c r="AG72" s="124">
        <f t="shared" si="55"/>
        <v>0.25836789003862598</v>
      </c>
      <c r="AH72" s="113">
        <f t="shared" si="54"/>
        <v>4.1250000000000002E-3</v>
      </c>
      <c r="AI72" s="112">
        <f t="shared" si="59"/>
        <v>2.0036429872495445E-2</v>
      </c>
      <c r="AJ72" s="127" t="s">
        <v>112</v>
      </c>
      <c r="AK72" s="127" t="s">
        <v>112</v>
      </c>
      <c r="AL72" s="127" t="s">
        <v>112</v>
      </c>
      <c r="AM72" s="127" t="s">
        <v>112</v>
      </c>
      <c r="AN72" s="127" t="s">
        <v>112</v>
      </c>
      <c r="AO72" s="127" t="s">
        <v>112</v>
      </c>
      <c r="AP72" s="114">
        <f t="shared" si="60"/>
        <v>0.2825293199111214</v>
      </c>
      <c r="AQ72" s="127" t="s">
        <v>112</v>
      </c>
      <c r="AR72" s="114">
        <f t="shared" si="61"/>
        <v>0.68718356991112128</v>
      </c>
      <c r="AS72" s="122"/>
      <c r="AT72" s="59"/>
      <c r="AU72" s="59"/>
      <c r="AV72" s="59"/>
      <c r="AW72" s="59"/>
      <c r="AX72" s="59"/>
      <c r="AY72" s="59"/>
      <c r="AZ72" s="59"/>
      <c r="BA72" s="59"/>
      <c r="BB72" s="59"/>
      <c r="BC72" s="59"/>
      <c r="BD72" s="59"/>
      <c r="BE72" s="59"/>
      <c r="BF72" s="59"/>
      <c r="BG72" s="59"/>
      <c r="BH72" s="59"/>
      <c r="BI72" s="59"/>
      <c r="BJ72" s="59"/>
      <c r="BK72" s="59"/>
      <c r="BL72" s="59"/>
      <c r="BM72" s="59"/>
      <c r="BN72" s="59"/>
      <c r="BO72" s="59"/>
      <c r="BP72" s="59"/>
      <c r="BQ72" s="59"/>
      <c r="BR72" s="59"/>
      <c r="BS72" s="59"/>
      <c r="BT72" s="59"/>
      <c r="BU72" s="59"/>
      <c r="BV72" s="59"/>
    </row>
    <row r="73" spans="1:74" s="125" customFormat="1" ht="24.75" customHeight="1" x14ac:dyDescent="0.35">
      <c r="A73" s="105" t="s">
        <v>272</v>
      </c>
      <c r="B73" s="129" t="s">
        <v>151</v>
      </c>
      <c r="C73" s="129" t="s">
        <v>293</v>
      </c>
      <c r="D73" s="140" t="s">
        <v>298</v>
      </c>
      <c r="E73" s="105" t="s">
        <v>155</v>
      </c>
      <c r="F73" s="140" t="s">
        <v>303</v>
      </c>
      <c r="G73" s="140">
        <v>21060002</v>
      </c>
      <c r="H73" s="130" t="s">
        <v>306</v>
      </c>
      <c r="I73" s="122"/>
      <c r="J73" s="129" t="s">
        <v>311</v>
      </c>
      <c r="K73" s="122" t="s">
        <v>166</v>
      </c>
      <c r="L73" s="122">
        <v>1</v>
      </c>
      <c r="M73" s="122" t="s">
        <v>167</v>
      </c>
      <c r="N73" s="122"/>
      <c r="O73" s="122"/>
      <c r="P73" s="122"/>
      <c r="Q73" s="122"/>
      <c r="R73" s="122"/>
      <c r="S73" s="110"/>
      <c r="T73" s="142">
        <v>3.3</v>
      </c>
      <c r="U73" s="142">
        <v>3.3</v>
      </c>
      <c r="V73" s="142">
        <v>3.3</v>
      </c>
      <c r="W73" s="110">
        <v>1647</v>
      </c>
      <c r="X73" s="111">
        <f t="shared" si="56"/>
        <v>271.755</v>
      </c>
      <c r="Y73" s="83">
        <f t="shared" si="30"/>
        <v>285.34274999999997</v>
      </c>
      <c r="Z73" s="111">
        <f t="shared" si="57"/>
        <v>108.702</v>
      </c>
      <c r="AA73" s="127" t="s">
        <v>112</v>
      </c>
      <c r="AB73" s="127" t="s">
        <v>112</v>
      </c>
      <c r="AC73" s="127" t="s">
        <v>112</v>
      </c>
      <c r="AD73" s="111">
        <f t="shared" si="58"/>
        <v>665.7997499999999</v>
      </c>
      <c r="AE73" s="112">
        <f t="shared" si="53"/>
        <v>0.40465424999999994</v>
      </c>
      <c r="AF73" s="127" t="s">
        <v>112</v>
      </c>
      <c r="AG73" s="124">
        <f t="shared" si="55"/>
        <v>0.25836789003862598</v>
      </c>
      <c r="AH73" s="113">
        <f t="shared" si="54"/>
        <v>4.1250000000000002E-3</v>
      </c>
      <c r="AI73" s="112">
        <f t="shared" si="59"/>
        <v>2.0036429872495445E-2</v>
      </c>
      <c r="AJ73" s="127" t="s">
        <v>112</v>
      </c>
      <c r="AK73" s="127" t="s">
        <v>112</v>
      </c>
      <c r="AL73" s="127" t="s">
        <v>112</v>
      </c>
      <c r="AM73" s="127" t="s">
        <v>112</v>
      </c>
      <c r="AN73" s="127" t="s">
        <v>112</v>
      </c>
      <c r="AO73" s="127" t="s">
        <v>112</v>
      </c>
      <c r="AP73" s="114">
        <f t="shared" si="60"/>
        <v>0.2825293199111214</v>
      </c>
      <c r="AQ73" s="127" t="s">
        <v>112</v>
      </c>
      <c r="AR73" s="114">
        <f t="shared" si="61"/>
        <v>0.68718356991112128</v>
      </c>
      <c r="AS73" s="122"/>
      <c r="AT73" s="59"/>
      <c r="AU73" s="59"/>
      <c r="AV73" s="59"/>
      <c r="AW73" s="59"/>
      <c r="AX73" s="59"/>
      <c r="AY73" s="59"/>
      <c r="AZ73" s="59"/>
      <c r="BA73" s="59"/>
      <c r="BB73" s="59"/>
      <c r="BC73" s="59"/>
      <c r="BD73" s="59"/>
      <c r="BE73" s="59"/>
      <c r="BF73" s="59"/>
      <c r="BG73" s="59"/>
      <c r="BH73" s="59"/>
      <c r="BI73" s="59"/>
      <c r="BJ73" s="59"/>
      <c r="BK73" s="59"/>
      <c r="BL73" s="59"/>
      <c r="BM73" s="59"/>
      <c r="BN73" s="59"/>
      <c r="BO73" s="59"/>
      <c r="BP73" s="59"/>
      <c r="BQ73" s="59"/>
      <c r="BR73" s="59"/>
      <c r="BS73" s="59"/>
      <c r="BT73" s="59"/>
      <c r="BU73" s="59"/>
      <c r="BV73" s="59"/>
    </row>
    <row r="74" spans="1:74" s="125" customFormat="1" ht="24.75" customHeight="1" x14ac:dyDescent="0.35">
      <c r="A74" s="105" t="s">
        <v>273</v>
      </c>
      <c r="B74" s="129" t="s">
        <v>151</v>
      </c>
      <c r="C74" s="129" t="s">
        <v>293</v>
      </c>
      <c r="D74" s="140" t="s">
        <v>299</v>
      </c>
      <c r="E74" s="105" t="s">
        <v>155</v>
      </c>
      <c r="F74" s="140" t="s">
        <v>303</v>
      </c>
      <c r="G74" s="140">
        <v>21060002</v>
      </c>
      <c r="H74" s="130" t="s">
        <v>307</v>
      </c>
      <c r="I74" s="122"/>
      <c r="J74" s="129" t="s">
        <v>311</v>
      </c>
      <c r="K74" s="122" t="s">
        <v>166</v>
      </c>
      <c r="L74" s="122">
        <v>1</v>
      </c>
      <c r="M74" s="122" t="s">
        <v>167</v>
      </c>
      <c r="N74" s="122"/>
      <c r="O74" s="122"/>
      <c r="P74" s="122"/>
      <c r="Q74" s="122"/>
      <c r="R74" s="122"/>
      <c r="S74" s="110"/>
      <c r="T74" s="142">
        <v>2.2999999999999998</v>
      </c>
      <c r="U74" s="142">
        <v>2.2999999999999998</v>
      </c>
      <c r="V74" s="142">
        <v>2.2999999999999998</v>
      </c>
      <c r="W74" s="110">
        <v>1647</v>
      </c>
      <c r="X74" s="111">
        <f t="shared" si="56"/>
        <v>189.40499999999997</v>
      </c>
      <c r="Y74" s="83">
        <f t="shared" si="30"/>
        <v>198.87525000000002</v>
      </c>
      <c r="Z74" s="111">
        <f t="shared" si="57"/>
        <v>75.762</v>
      </c>
      <c r="AA74" s="127" t="s">
        <v>112</v>
      </c>
      <c r="AB74" s="127" t="s">
        <v>112</v>
      </c>
      <c r="AC74" s="127" t="s">
        <v>112</v>
      </c>
      <c r="AD74" s="111">
        <f t="shared" si="58"/>
        <v>464.04225000000002</v>
      </c>
      <c r="AE74" s="112">
        <f t="shared" si="53"/>
        <v>0.28203175000000003</v>
      </c>
      <c r="AF74" s="127" t="s">
        <v>112</v>
      </c>
      <c r="AG74" s="124">
        <f t="shared" si="55"/>
        <v>0.25836789003862598</v>
      </c>
      <c r="AH74" s="113">
        <f t="shared" si="54"/>
        <v>2.875E-3</v>
      </c>
      <c r="AI74" s="112">
        <f t="shared" si="59"/>
        <v>1.3964784456587736E-2</v>
      </c>
      <c r="AJ74" s="127" t="s">
        <v>112</v>
      </c>
      <c r="AK74" s="127" t="s">
        <v>112</v>
      </c>
      <c r="AL74" s="127" t="s">
        <v>112</v>
      </c>
      <c r="AM74" s="127" t="s">
        <v>112</v>
      </c>
      <c r="AN74" s="127" t="s">
        <v>112</v>
      </c>
      <c r="AO74" s="127" t="s">
        <v>112</v>
      </c>
      <c r="AP74" s="114">
        <f t="shared" si="60"/>
        <v>0.27520767449521372</v>
      </c>
      <c r="AQ74" s="127" t="s">
        <v>112</v>
      </c>
      <c r="AR74" s="114">
        <f t="shared" si="61"/>
        <v>0.55723942449521369</v>
      </c>
      <c r="AS74" s="122"/>
      <c r="AT74" s="59"/>
      <c r="AU74" s="59"/>
      <c r="AV74" s="59"/>
      <c r="AW74" s="59"/>
      <c r="AX74" s="59"/>
      <c r="AY74" s="59"/>
      <c r="AZ74" s="59"/>
      <c r="BA74" s="59"/>
      <c r="BB74" s="59"/>
      <c r="BC74" s="59"/>
      <c r="BD74" s="59"/>
      <c r="BE74" s="59"/>
      <c r="BF74" s="59"/>
      <c r="BG74" s="59"/>
      <c r="BH74" s="59"/>
      <c r="BI74" s="59"/>
      <c r="BJ74" s="59"/>
      <c r="BK74" s="59"/>
      <c r="BL74" s="59"/>
      <c r="BM74" s="59"/>
      <c r="BN74" s="59"/>
      <c r="BO74" s="59"/>
      <c r="BP74" s="59"/>
      <c r="BQ74" s="59"/>
      <c r="BR74" s="59"/>
      <c r="BS74" s="59"/>
      <c r="BT74" s="59"/>
      <c r="BU74" s="59"/>
      <c r="BV74" s="59"/>
    </row>
    <row r="75" spans="1:74" s="125" customFormat="1" ht="24.75" customHeight="1" x14ac:dyDescent="0.35">
      <c r="A75" s="105" t="s">
        <v>274</v>
      </c>
      <c r="B75" s="129" t="s">
        <v>151</v>
      </c>
      <c r="C75" s="129" t="s">
        <v>293</v>
      </c>
      <c r="D75" s="140" t="s">
        <v>299</v>
      </c>
      <c r="E75" s="105" t="s">
        <v>155</v>
      </c>
      <c r="F75" s="140" t="s">
        <v>303</v>
      </c>
      <c r="G75" s="140">
        <v>21060002</v>
      </c>
      <c r="H75" s="130" t="s">
        <v>307</v>
      </c>
      <c r="I75" s="122"/>
      <c r="J75" s="129" t="s">
        <v>311</v>
      </c>
      <c r="K75" s="122" t="s">
        <v>166</v>
      </c>
      <c r="L75" s="122">
        <v>1</v>
      </c>
      <c r="M75" s="122" t="s">
        <v>167</v>
      </c>
      <c r="N75" s="122"/>
      <c r="O75" s="122"/>
      <c r="P75" s="122"/>
      <c r="Q75" s="122"/>
      <c r="R75" s="122"/>
      <c r="S75" s="110"/>
      <c r="T75" s="142">
        <v>2.2999999999999998</v>
      </c>
      <c r="U75" s="142">
        <v>2.2999999999999998</v>
      </c>
      <c r="V75" s="142">
        <v>2.2999999999999998</v>
      </c>
      <c r="W75" s="110">
        <v>1647</v>
      </c>
      <c r="X75" s="111">
        <f t="shared" si="56"/>
        <v>189.40499999999997</v>
      </c>
      <c r="Y75" s="83">
        <f t="shared" si="30"/>
        <v>198.87525000000002</v>
      </c>
      <c r="Z75" s="111">
        <f t="shared" si="57"/>
        <v>75.762</v>
      </c>
      <c r="AA75" s="127" t="s">
        <v>112</v>
      </c>
      <c r="AB75" s="127" t="s">
        <v>112</v>
      </c>
      <c r="AC75" s="127" t="s">
        <v>112</v>
      </c>
      <c r="AD75" s="111">
        <f t="shared" si="58"/>
        <v>464.04225000000002</v>
      </c>
      <c r="AE75" s="112">
        <f t="shared" si="53"/>
        <v>0.28203175000000003</v>
      </c>
      <c r="AF75" s="127" t="s">
        <v>112</v>
      </c>
      <c r="AG75" s="124">
        <f t="shared" si="55"/>
        <v>0.25836789003862598</v>
      </c>
      <c r="AH75" s="113">
        <f t="shared" si="54"/>
        <v>2.875E-3</v>
      </c>
      <c r="AI75" s="112">
        <f t="shared" si="59"/>
        <v>1.3964784456587736E-2</v>
      </c>
      <c r="AJ75" s="127" t="s">
        <v>112</v>
      </c>
      <c r="AK75" s="127" t="s">
        <v>112</v>
      </c>
      <c r="AL75" s="127" t="s">
        <v>112</v>
      </c>
      <c r="AM75" s="127" t="s">
        <v>112</v>
      </c>
      <c r="AN75" s="127" t="s">
        <v>112</v>
      </c>
      <c r="AO75" s="127" t="s">
        <v>112</v>
      </c>
      <c r="AP75" s="114">
        <f t="shared" si="60"/>
        <v>0.27520767449521372</v>
      </c>
      <c r="AQ75" s="127" t="s">
        <v>112</v>
      </c>
      <c r="AR75" s="114">
        <f t="shared" si="61"/>
        <v>0.55723942449521369</v>
      </c>
      <c r="AS75" s="122"/>
      <c r="AT75" s="59"/>
      <c r="AU75" s="59"/>
      <c r="AV75" s="59"/>
      <c r="AW75" s="59"/>
      <c r="AX75" s="59"/>
      <c r="AY75" s="59"/>
      <c r="AZ75" s="59"/>
      <c r="BA75" s="59"/>
      <c r="BB75" s="59"/>
      <c r="BC75" s="59"/>
      <c r="BD75" s="59"/>
      <c r="BE75" s="59"/>
      <c r="BF75" s="59"/>
      <c r="BG75" s="59"/>
      <c r="BH75" s="59"/>
      <c r="BI75" s="59"/>
      <c r="BJ75" s="59"/>
      <c r="BK75" s="59"/>
      <c r="BL75" s="59"/>
      <c r="BM75" s="59"/>
      <c r="BN75" s="59"/>
      <c r="BO75" s="59"/>
      <c r="BP75" s="59"/>
      <c r="BQ75" s="59"/>
      <c r="BR75" s="59"/>
      <c r="BS75" s="59"/>
      <c r="BT75" s="59"/>
      <c r="BU75" s="59"/>
      <c r="BV75" s="59"/>
    </row>
    <row r="76" spans="1:74" s="125" customFormat="1" ht="24.75" customHeight="1" x14ac:dyDescent="0.35">
      <c r="A76" s="105" t="s">
        <v>275</v>
      </c>
      <c r="B76" s="129" t="s">
        <v>151</v>
      </c>
      <c r="C76" s="129" t="s">
        <v>293</v>
      </c>
      <c r="D76" s="140" t="s">
        <v>299</v>
      </c>
      <c r="E76" s="105" t="s">
        <v>155</v>
      </c>
      <c r="F76" s="140" t="s">
        <v>303</v>
      </c>
      <c r="G76" s="140">
        <v>21060002</v>
      </c>
      <c r="H76" s="130" t="s">
        <v>307</v>
      </c>
      <c r="I76" s="122"/>
      <c r="J76" s="129" t="s">
        <v>311</v>
      </c>
      <c r="K76" s="122" t="s">
        <v>166</v>
      </c>
      <c r="L76" s="122">
        <v>1</v>
      </c>
      <c r="M76" s="122" t="s">
        <v>167</v>
      </c>
      <c r="N76" s="122"/>
      <c r="O76" s="122"/>
      <c r="P76" s="122"/>
      <c r="Q76" s="122"/>
      <c r="R76" s="122"/>
      <c r="S76" s="110"/>
      <c r="T76" s="142">
        <v>2.2999999999999998</v>
      </c>
      <c r="U76" s="142">
        <v>2.2999999999999998</v>
      </c>
      <c r="V76" s="142">
        <v>2.2999999999999998</v>
      </c>
      <c r="W76" s="110">
        <v>1647</v>
      </c>
      <c r="X76" s="111">
        <f t="shared" si="56"/>
        <v>189.40499999999997</v>
      </c>
      <c r="Y76" s="83">
        <f t="shared" ref="Y76:Y114" si="62">(X76+(V76*W76))*5%</f>
        <v>198.87525000000002</v>
      </c>
      <c r="Z76" s="111">
        <f t="shared" si="57"/>
        <v>75.762</v>
      </c>
      <c r="AA76" s="127" t="s">
        <v>112</v>
      </c>
      <c r="AB76" s="127" t="s">
        <v>112</v>
      </c>
      <c r="AC76" s="127" t="s">
        <v>112</v>
      </c>
      <c r="AD76" s="111">
        <f t="shared" si="58"/>
        <v>464.04225000000002</v>
      </c>
      <c r="AE76" s="112">
        <f t="shared" si="53"/>
        <v>0.28203175000000003</v>
      </c>
      <c r="AF76" s="127" t="s">
        <v>112</v>
      </c>
      <c r="AG76" s="124">
        <f t="shared" si="55"/>
        <v>0.25836789003862598</v>
      </c>
      <c r="AH76" s="113">
        <f t="shared" si="54"/>
        <v>2.875E-3</v>
      </c>
      <c r="AI76" s="112">
        <f t="shared" si="59"/>
        <v>1.3964784456587736E-2</v>
      </c>
      <c r="AJ76" s="127" t="s">
        <v>112</v>
      </c>
      <c r="AK76" s="127" t="s">
        <v>112</v>
      </c>
      <c r="AL76" s="127" t="s">
        <v>112</v>
      </c>
      <c r="AM76" s="127" t="s">
        <v>112</v>
      </c>
      <c r="AN76" s="127" t="s">
        <v>112</v>
      </c>
      <c r="AO76" s="127" t="s">
        <v>112</v>
      </c>
      <c r="AP76" s="114">
        <f t="shared" si="60"/>
        <v>0.27520767449521372</v>
      </c>
      <c r="AQ76" s="127" t="s">
        <v>112</v>
      </c>
      <c r="AR76" s="114">
        <f t="shared" si="61"/>
        <v>0.55723942449521369</v>
      </c>
      <c r="AS76" s="122"/>
      <c r="AT76" s="59"/>
      <c r="AU76" s="59"/>
      <c r="AV76" s="59"/>
      <c r="AW76" s="59"/>
      <c r="AX76" s="59"/>
      <c r="AY76" s="59"/>
      <c r="AZ76" s="59"/>
      <c r="BA76" s="59"/>
      <c r="BB76" s="59"/>
      <c r="BC76" s="59"/>
      <c r="BD76" s="59"/>
      <c r="BE76" s="59"/>
      <c r="BF76" s="59"/>
      <c r="BG76" s="59"/>
      <c r="BH76" s="59"/>
      <c r="BI76" s="59"/>
      <c r="BJ76" s="59"/>
      <c r="BK76" s="59"/>
      <c r="BL76" s="59"/>
      <c r="BM76" s="59"/>
      <c r="BN76" s="59"/>
      <c r="BO76" s="59"/>
      <c r="BP76" s="59"/>
      <c r="BQ76" s="59"/>
      <c r="BR76" s="59"/>
      <c r="BS76" s="59"/>
      <c r="BT76" s="59"/>
      <c r="BU76" s="59"/>
      <c r="BV76" s="59"/>
    </row>
    <row r="77" spans="1:74" s="125" customFormat="1" ht="24.75" customHeight="1" x14ac:dyDescent="0.35">
      <c r="A77" s="105" t="s">
        <v>276</v>
      </c>
      <c r="B77" s="129" t="s">
        <v>151</v>
      </c>
      <c r="C77" s="129" t="s">
        <v>293</v>
      </c>
      <c r="D77" s="140" t="s">
        <v>299</v>
      </c>
      <c r="E77" s="105" t="s">
        <v>155</v>
      </c>
      <c r="F77" s="140" t="s">
        <v>303</v>
      </c>
      <c r="G77" s="140">
        <v>21060002</v>
      </c>
      <c r="H77" s="130" t="s">
        <v>307</v>
      </c>
      <c r="I77" s="122"/>
      <c r="J77" s="129" t="s">
        <v>311</v>
      </c>
      <c r="K77" s="122" t="s">
        <v>166</v>
      </c>
      <c r="L77" s="122">
        <v>1</v>
      </c>
      <c r="M77" s="122" t="s">
        <v>167</v>
      </c>
      <c r="N77" s="122"/>
      <c r="O77" s="122"/>
      <c r="P77" s="122"/>
      <c r="Q77" s="122"/>
      <c r="R77" s="122"/>
      <c r="S77" s="110"/>
      <c r="T77" s="142">
        <v>2.2999999999999998</v>
      </c>
      <c r="U77" s="142">
        <v>2.2999999999999998</v>
      </c>
      <c r="V77" s="142">
        <v>2.2999999999999998</v>
      </c>
      <c r="W77" s="110">
        <v>1647</v>
      </c>
      <c r="X77" s="111">
        <f t="shared" si="56"/>
        <v>189.40499999999997</v>
      </c>
      <c r="Y77" s="83">
        <f t="shared" si="62"/>
        <v>198.87525000000002</v>
      </c>
      <c r="Z77" s="111">
        <f t="shared" si="57"/>
        <v>75.762</v>
      </c>
      <c r="AA77" s="127" t="s">
        <v>112</v>
      </c>
      <c r="AB77" s="127" t="s">
        <v>112</v>
      </c>
      <c r="AC77" s="127" t="s">
        <v>112</v>
      </c>
      <c r="AD77" s="111">
        <f t="shared" si="58"/>
        <v>464.04225000000002</v>
      </c>
      <c r="AE77" s="112">
        <f t="shared" si="53"/>
        <v>0.28203175000000003</v>
      </c>
      <c r="AF77" s="127" t="s">
        <v>112</v>
      </c>
      <c r="AG77" s="124">
        <f t="shared" si="55"/>
        <v>0.25836789003862598</v>
      </c>
      <c r="AH77" s="113">
        <f t="shared" si="54"/>
        <v>2.875E-3</v>
      </c>
      <c r="AI77" s="112">
        <f t="shared" si="59"/>
        <v>1.3964784456587736E-2</v>
      </c>
      <c r="AJ77" s="127" t="s">
        <v>112</v>
      </c>
      <c r="AK77" s="127" t="s">
        <v>112</v>
      </c>
      <c r="AL77" s="127" t="s">
        <v>112</v>
      </c>
      <c r="AM77" s="127" t="s">
        <v>112</v>
      </c>
      <c r="AN77" s="127" t="s">
        <v>112</v>
      </c>
      <c r="AO77" s="127" t="s">
        <v>112</v>
      </c>
      <c r="AP77" s="114">
        <f t="shared" si="60"/>
        <v>0.27520767449521372</v>
      </c>
      <c r="AQ77" s="127" t="s">
        <v>112</v>
      </c>
      <c r="AR77" s="114">
        <f t="shared" si="61"/>
        <v>0.55723942449521369</v>
      </c>
      <c r="AS77" s="122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  <c r="BE77" s="59"/>
      <c r="BF77" s="59"/>
      <c r="BG77" s="59"/>
      <c r="BH77" s="59"/>
      <c r="BI77" s="59"/>
      <c r="BJ77" s="59"/>
      <c r="BK77" s="59"/>
      <c r="BL77" s="59"/>
      <c r="BM77" s="59"/>
      <c r="BN77" s="59"/>
      <c r="BO77" s="59"/>
      <c r="BP77" s="59"/>
      <c r="BQ77" s="59"/>
      <c r="BR77" s="59"/>
      <c r="BS77" s="59"/>
      <c r="BT77" s="59"/>
      <c r="BU77" s="59"/>
      <c r="BV77" s="59"/>
    </row>
    <row r="78" spans="1:74" s="125" customFormat="1" ht="24.75" customHeight="1" x14ac:dyDescent="0.35">
      <c r="A78" s="105" t="s">
        <v>277</v>
      </c>
      <c r="B78" s="129" t="s">
        <v>151</v>
      </c>
      <c r="C78" s="129" t="s">
        <v>293</v>
      </c>
      <c r="D78" s="140" t="s">
        <v>299</v>
      </c>
      <c r="E78" s="105" t="s">
        <v>155</v>
      </c>
      <c r="F78" s="140" t="s">
        <v>303</v>
      </c>
      <c r="G78" s="140">
        <v>21060002</v>
      </c>
      <c r="H78" s="130" t="s">
        <v>307</v>
      </c>
      <c r="I78" s="122"/>
      <c r="J78" s="129" t="s">
        <v>311</v>
      </c>
      <c r="K78" s="122" t="s">
        <v>166</v>
      </c>
      <c r="L78" s="122">
        <v>1</v>
      </c>
      <c r="M78" s="122" t="s">
        <v>167</v>
      </c>
      <c r="N78" s="122"/>
      <c r="O78" s="122"/>
      <c r="P78" s="122"/>
      <c r="Q78" s="122"/>
      <c r="R78" s="122"/>
      <c r="S78" s="110"/>
      <c r="T78" s="142">
        <v>2.2999999999999998</v>
      </c>
      <c r="U78" s="142">
        <v>2.2999999999999998</v>
      </c>
      <c r="V78" s="142">
        <v>2.2999999999999998</v>
      </c>
      <c r="W78" s="110">
        <v>1647</v>
      </c>
      <c r="X78" s="111">
        <f t="shared" si="56"/>
        <v>189.40499999999997</v>
      </c>
      <c r="Y78" s="83">
        <f t="shared" si="62"/>
        <v>198.87525000000002</v>
      </c>
      <c r="Z78" s="111">
        <f t="shared" si="57"/>
        <v>75.762</v>
      </c>
      <c r="AA78" s="127" t="s">
        <v>112</v>
      </c>
      <c r="AB78" s="127" t="s">
        <v>112</v>
      </c>
      <c r="AC78" s="127" t="s">
        <v>112</v>
      </c>
      <c r="AD78" s="111">
        <f t="shared" si="58"/>
        <v>464.04225000000002</v>
      </c>
      <c r="AE78" s="112">
        <f t="shared" si="53"/>
        <v>0.28203175000000003</v>
      </c>
      <c r="AF78" s="127" t="s">
        <v>112</v>
      </c>
      <c r="AG78" s="124">
        <f t="shared" si="55"/>
        <v>0.25836789003862598</v>
      </c>
      <c r="AH78" s="113">
        <f t="shared" si="54"/>
        <v>2.875E-3</v>
      </c>
      <c r="AI78" s="112">
        <f t="shared" si="59"/>
        <v>1.3964784456587736E-2</v>
      </c>
      <c r="AJ78" s="127" t="s">
        <v>112</v>
      </c>
      <c r="AK78" s="127" t="s">
        <v>112</v>
      </c>
      <c r="AL78" s="127" t="s">
        <v>112</v>
      </c>
      <c r="AM78" s="127" t="s">
        <v>112</v>
      </c>
      <c r="AN78" s="127" t="s">
        <v>112</v>
      </c>
      <c r="AO78" s="127" t="s">
        <v>112</v>
      </c>
      <c r="AP78" s="114">
        <f t="shared" si="60"/>
        <v>0.27520767449521372</v>
      </c>
      <c r="AQ78" s="127" t="s">
        <v>112</v>
      </c>
      <c r="AR78" s="114">
        <f t="shared" si="61"/>
        <v>0.55723942449521369</v>
      </c>
      <c r="AS78" s="122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  <c r="BE78" s="59"/>
      <c r="BF78" s="59"/>
      <c r="BG78" s="59"/>
      <c r="BH78" s="59"/>
      <c r="BI78" s="59"/>
      <c r="BJ78" s="59"/>
      <c r="BK78" s="59"/>
      <c r="BL78" s="59"/>
      <c r="BM78" s="59"/>
      <c r="BN78" s="59"/>
      <c r="BO78" s="59"/>
      <c r="BP78" s="59"/>
      <c r="BQ78" s="59"/>
      <c r="BR78" s="59"/>
      <c r="BS78" s="59"/>
      <c r="BT78" s="59"/>
      <c r="BU78" s="59"/>
      <c r="BV78" s="59"/>
    </row>
    <row r="79" spans="1:74" s="125" customFormat="1" ht="24.75" customHeight="1" x14ac:dyDescent="0.35">
      <c r="A79" s="105" t="s">
        <v>278</v>
      </c>
      <c r="B79" s="129" t="s">
        <v>151</v>
      </c>
      <c r="C79" s="129" t="s">
        <v>293</v>
      </c>
      <c r="D79" s="140" t="s">
        <v>299</v>
      </c>
      <c r="E79" s="105" t="s">
        <v>155</v>
      </c>
      <c r="F79" s="140" t="s">
        <v>303</v>
      </c>
      <c r="G79" s="140">
        <v>21060002</v>
      </c>
      <c r="H79" s="130" t="s">
        <v>307</v>
      </c>
      <c r="I79" s="122"/>
      <c r="J79" s="129" t="s">
        <v>311</v>
      </c>
      <c r="K79" s="122" t="s">
        <v>166</v>
      </c>
      <c r="L79" s="122">
        <v>1</v>
      </c>
      <c r="M79" s="122" t="s">
        <v>167</v>
      </c>
      <c r="N79" s="122"/>
      <c r="O79" s="122"/>
      <c r="P79" s="122"/>
      <c r="Q79" s="122"/>
      <c r="R79" s="122"/>
      <c r="S79" s="110"/>
      <c r="T79" s="142">
        <v>2.2999999999999998</v>
      </c>
      <c r="U79" s="142">
        <v>2.2999999999999998</v>
      </c>
      <c r="V79" s="142">
        <v>2.2999999999999998</v>
      </c>
      <c r="W79" s="110">
        <v>1647</v>
      </c>
      <c r="X79" s="111">
        <f t="shared" si="56"/>
        <v>189.40499999999997</v>
      </c>
      <c r="Y79" s="83">
        <f t="shared" si="62"/>
        <v>198.87525000000002</v>
      </c>
      <c r="Z79" s="111">
        <f t="shared" si="57"/>
        <v>75.762</v>
      </c>
      <c r="AA79" s="127" t="s">
        <v>112</v>
      </c>
      <c r="AB79" s="127" t="s">
        <v>112</v>
      </c>
      <c r="AC79" s="127" t="s">
        <v>112</v>
      </c>
      <c r="AD79" s="111">
        <f t="shared" si="58"/>
        <v>464.04225000000002</v>
      </c>
      <c r="AE79" s="112">
        <f t="shared" si="53"/>
        <v>0.28203175000000003</v>
      </c>
      <c r="AF79" s="127" t="s">
        <v>112</v>
      </c>
      <c r="AG79" s="124">
        <f t="shared" si="55"/>
        <v>0.25836789003862598</v>
      </c>
      <c r="AH79" s="113">
        <f t="shared" si="54"/>
        <v>2.875E-3</v>
      </c>
      <c r="AI79" s="112">
        <f t="shared" si="59"/>
        <v>1.3964784456587736E-2</v>
      </c>
      <c r="AJ79" s="127" t="s">
        <v>112</v>
      </c>
      <c r="AK79" s="127" t="s">
        <v>112</v>
      </c>
      <c r="AL79" s="127" t="s">
        <v>112</v>
      </c>
      <c r="AM79" s="127" t="s">
        <v>112</v>
      </c>
      <c r="AN79" s="127" t="s">
        <v>112</v>
      </c>
      <c r="AO79" s="127" t="s">
        <v>112</v>
      </c>
      <c r="AP79" s="114">
        <f t="shared" si="60"/>
        <v>0.27520767449521372</v>
      </c>
      <c r="AQ79" s="127" t="s">
        <v>112</v>
      </c>
      <c r="AR79" s="114">
        <f t="shared" si="61"/>
        <v>0.55723942449521369</v>
      </c>
      <c r="AS79" s="122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  <c r="BE79" s="59"/>
      <c r="BF79" s="59"/>
      <c r="BG79" s="59"/>
      <c r="BH79" s="59"/>
      <c r="BI79" s="59"/>
      <c r="BJ79" s="59"/>
      <c r="BK79" s="59"/>
      <c r="BL79" s="59"/>
      <c r="BM79" s="59"/>
      <c r="BN79" s="59"/>
      <c r="BO79" s="59"/>
      <c r="BP79" s="59"/>
      <c r="BQ79" s="59"/>
      <c r="BR79" s="59"/>
      <c r="BS79" s="59"/>
      <c r="BT79" s="59"/>
      <c r="BU79" s="59"/>
      <c r="BV79" s="59"/>
    </row>
    <row r="80" spans="1:74" s="125" customFormat="1" ht="24.75" customHeight="1" x14ac:dyDescent="0.35">
      <c r="A80" s="105" t="s">
        <v>279</v>
      </c>
      <c r="B80" s="129" t="s">
        <v>151</v>
      </c>
      <c r="C80" s="129" t="s">
        <v>293</v>
      </c>
      <c r="D80" s="140" t="s">
        <v>299</v>
      </c>
      <c r="E80" s="105" t="s">
        <v>155</v>
      </c>
      <c r="F80" s="140" t="s">
        <v>303</v>
      </c>
      <c r="G80" s="140">
        <v>21060002</v>
      </c>
      <c r="H80" s="130" t="s">
        <v>307</v>
      </c>
      <c r="I80" s="122"/>
      <c r="J80" s="129" t="s">
        <v>311</v>
      </c>
      <c r="K80" s="122" t="s">
        <v>166</v>
      </c>
      <c r="L80" s="122">
        <v>1</v>
      </c>
      <c r="M80" s="122" t="s">
        <v>167</v>
      </c>
      <c r="N80" s="122"/>
      <c r="O80" s="122"/>
      <c r="P80" s="122"/>
      <c r="Q80" s="122"/>
      <c r="R80" s="122"/>
      <c r="S80" s="110"/>
      <c r="T80" s="142">
        <v>2.2999999999999998</v>
      </c>
      <c r="U80" s="142">
        <v>2.2999999999999998</v>
      </c>
      <c r="V80" s="142">
        <v>2.2999999999999998</v>
      </c>
      <c r="W80" s="110">
        <v>1647</v>
      </c>
      <c r="X80" s="111">
        <f t="shared" si="56"/>
        <v>189.40499999999997</v>
      </c>
      <c r="Y80" s="83">
        <f t="shared" si="62"/>
        <v>198.87525000000002</v>
      </c>
      <c r="Z80" s="111">
        <f t="shared" si="57"/>
        <v>75.762</v>
      </c>
      <c r="AA80" s="127" t="s">
        <v>112</v>
      </c>
      <c r="AB80" s="127" t="s">
        <v>112</v>
      </c>
      <c r="AC80" s="127" t="s">
        <v>112</v>
      </c>
      <c r="AD80" s="111">
        <f t="shared" si="58"/>
        <v>464.04225000000002</v>
      </c>
      <c r="AE80" s="112">
        <f t="shared" si="53"/>
        <v>0.28203175000000003</v>
      </c>
      <c r="AF80" s="127" t="s">
        <v>112</v>
      </c>
      <c r="AG80" s="124">
        <f t="shared" si="55"/>
        <v>0.25836789003862598</v>
      </c>
      <c r="AH80" s="113">
        <f t="shared" si="54"/>
        <v>2.875E-3</v>
      </c>
      <c r="AI80" s="112">
        <f t="shared" si="59"/>
        <v>1.3964784456587736E-2</v>
      </c>
      <c r="AJ80" s="127" t="s">
        <v>112</v>
      </c>
      <c r="AK80" s="127" t="s">
        <v>112</v>
      </c>
      <c r="AL80" s="127" t="s">
        <v>112</v>
      </c>
      <c r="AM80" s="127" t="s">
        <v>112</v>
      </c>
      <c r="AN80" s="127" t="s">
        <v>112</v>
      </c>
      <c r="AO80" s="127" t="s">
        <v>112</v>
      </c>
      <c r="AP80" s="114">
        <f t="shared" si="60"/>
        <v>0.27520767449521372</v>
      </c>
      <c r="AQ80" s="127" t="s">
        <v>112</v>
      </c>
      <c r="AR80" s="114">
        <f t="shared" si="61"/>
        <v>0.55723942449521369</v>
      </c>
      <c r="AS80" s="122"/>
      <c r="AT80" s="59"/>
      <c r="AU80" s="59"/>
      <c r="AV80" s="59"/>
      <c r="AW80" s="59"/>
      <c r="AX80" s="59"/>
      <c r="AY80" s="59"/>
      <c r="AZ80" s="59"/>
      <c r="BA80" s="59"/>
      <c r="BB80" s="59"/>
      <c r="BC80" s="59"/>
      <c r="BD80" s="59"/>
      <c r="BE80" s="59"/>
      <c r="BF80" s="59"/>
      <c r="BG80" s="59"/>
      <c r="BH80" s="59"/>
      <c r="BI80" s="59"/>
      <c r="BJ80" s="59"/>
      <c r="BK80" s="59"/>
      <c r="BL80" s="59"/>
      <c r="BM80" s="59"/>
      <c r="BN80" s="59"/>
      <c r="BO80" s="59"/>
      <c r="BP80" s="59"/>
      <c r="BQ80" s="59"/>
      <c r="BR80" s="59"/>
      <c r="BS80" s="59"/>
      <c r="BT80" s="59"/>
      <c r="BU80" s="59"/>
      <c r="BV80" s="59"/>
    </row>
    <row r="81" spans="1:74" s="125" customFormat="1" ht="24.75" customHeight="1" x14ac:dyDescent="0.35">
      <c r="A81" s="105" t="s">
        <v>280</v>
      </c>
      <c r="B81" s="129" t="s">
        <v>151</v>
      </c>
      <c r="C81" s="129" t="s">
        <v>293</v>
      </c>
      <c r="D81" s="140" t="s">
        <v>299</v>
      </c>
      <c r="E81" s="105" t="s">
        <v>155</v>
      </c>
      <c r="F81" s="140" t="s">
        <v>303</v>
      </c>
      <c r="G81" s="140">
        <v>21060002</v>
      </c>
      <c r="H81" s="130" t="s">
        <v>307</v>
      </c>
      <c r="I81" s="122"/>
      <c r="J81" s="129" t="s">
        <v>311</v>
      </c>
      <c r="K81" s="122" t="s">
        <v>166</v>
      </c>
      <c r="L81" s="122">
        <v>1</v>
      </c>
      <c r="M81" s="122" t="s">
        <v>167</v>
      </c>
      <c r="N81" s="122"/>
      <c r="O81" s="122"/>
      <c r="P81" s="122"/>
      <c r="Q81" s="122"/>
      <c r="R81" s="122"/>
      <c r="S81" s="110"/>
      <c r="T81" s="142">
        <v>2.2999999999999998</v>
      </c>
      <c r="U81" s="142">
        <v>2.2999999999999998</v>
      </c>
      <c r="V81" s="142">
        <v>2.2999999999999998</v>
      </c>
      <c r="W81" s="110">
        <v>1647</v>
      </c>
      <c r="X81" s="111">
        <f t="shared" si="56"/>
        <v>189.40499999999997</v>
      </c>
      <c r="Y81" s="83">
        <f t="shared" si="62"/>
        <v>198.87525000000002</v>
      </c>
      <c r="Z81" s="111">
        <f t="shared" si="57"/>
        <v>75.762</v>
      </c>
      <c r="AA81" s="127" t="s">
        <v>112</v>
      </c>
      <c r="AB81" s="127" t="s">
        <v>112</v>
      </c>
      <c r="AC81" s="127" t="s">
        <v>112</v>
      </c>
      <c r="AD81" s="111">
        <f t="shared" si="58"/>
        <v>464.04225000000002</v>
      </c>
      <c r="AE81" s="112">
        <f t="shared" si="53"/>
        <v>0.28203175000000003</v>
      </c>
      <c r="AF81" s="127" t="s">
        <v>112</v>
      </c>
      <c r="AG81" s="124">
        <f t="shared" si="55"/>
        <v>0.25836789003862598</v>
      </c>
      <c r="AH81" s="113">
        <f t="shared" si="54"/>
        <v>2.875E-3</v>
      </c>
      <c r="AI81" s="112">
        <f t="shared" si="59"/>
        <v>1.3964784456587736E-2</v>
      </c>
      <c r="AJ81" s="127" t="s">
        <v>112</v>
      </c>
      <c r="AK81" s="127" t="s">
        <v>112</v>
      </c>
      <c r="AL81" s="127" t="s">
        <v>112</v>
      </c>
      <c r="AM81" s="127" t="s">
        <v>112</v>
      </c>
      <c r="AN81" s="127" t="s">
        <v>112</v>
      </c>
      <c r="AO81" s="127" t="s">
        <v>112</v>
      </c>
      <c r="AP81" s="114">
        <f t="shared" si="60"/>
        <v>0.27520767449521372</v>
      </c>
      <c r="AQ81" s="127" t="s">
        <v>112</v>
      </c>
      <c r="AR81" s="114">
        <f t="shared" si="61"/>
        <v>0.55723942449521369</v>
      </c>
      <c r="AS81" s="122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  <c r="BE81" s="59"/>
      <c r="BF81" s="59"/>
      <c r="BG81" s="59"/>
      <c r="BH81" s="59"/>
      <c r="BI81" s="59"/>
      <c r="BJ81" s="59"/>
      <c r="BK81" s="59"/>
      <c r="BL81" s="59"/>
      <c r="BM81" s="59"/>
      <c r="BN81" s="59"/>
      <c r="BO81" s="59"/>
      <c r="BP81" s="59"/>
      <c r="BQ81" s="59"/>
      <c r="BR81" s="59"/>
      <c r="BS81" s="59"/>
      <c r="BT81" s="59"/>
      <c r="BU81" s="59"/>
      <c r="BV81" s="59"/>
    </row>
    <row r="82" spans="1:74" s="125" customFormat="1" ht="24.75" customHeight="1" x14ac:dyDescent="0.35">
      <c r="A82" s="105" t="s">
        <v>281</v>
      </c>
      <c r="B82" s="129" t="s">
        <v>151</v>
      </c>
      <c r="C82" s="129" t="s">
        <v>293</v>
      </c>
      <c r="D82" s="140" t="s">
        <v>299</v>
      </c>
      <c r="E82" s="105" t="s">
        <v>155</v>
      </c>
      <c r="F82" s="140" t="s">
        <v>303</v>
      </c>
      <c r="G82" s="140">
        <v>21060002</v>
      </c>
      <c r="H82" s="130" t="s">
        <v>307</v>
      </c>
      <c r="I82" s="122"/>
      <c r="J82" s="129" t="s">
        <v>311</v>
      </c>
      <c r="K82" s="122" t="s">
        <v>166</v>
      </c>
      <c r="L82" s="122">
        <v>1</v>
      </c>
      <c r="M82" s="122" t="s">
        <v>167</v>
      </c>
      <c r="N82" s="122"/>
      <c r="O82" s="122"/>
      <c r="P82" s="122"/>
      <c r="Q82" s="122"/>
      <c r="R82" s="122"/>
      <c r="S82" s="110"/>
      <c r="T82" s="142">
        <v>2.2999999999999998</v>
      </c>
      <c r="U82" s="142">
        <v>2.2999999999999998</v>
      </c>
      <c r="V82" s="142">
        <v>2.2999999999999998</v>
      </c>
      <c r="W82" s="110">
        <v>1647</v>
      </c>
      <c r="X82" s="111">
        <f t="shared" si="56"/>
        <v>189.40499999999997</v>
      </c>
      <c r="Y82" s="83">
        <f t="shared" si="62"/>
        <v>198.87525000000002</v>
      </c>
      <c r="Z82" s="111">
        <f t="shared" si="57"/>
        <v>75.762</v>
      </c>
      <c r="AA82" s="127" t="s">
        <v>112</v>
      </c>
      <c r="AB82" s="127" t="s">
        <v>112</v>
      </c>
      <c r="AC82" s="127" t="s">
        <v>112</v>
      </c>
      <c r="AD82" s="111">
        <f t="shared" si="58"/>
        <v>464.04225000000002</v>
      </c>
      <c r="AE82" s="112">
        <f t="shared" si="53"/>
        <v>0.28203175000000003</v>
      </c>
      <c r="AF82" s="127" t="s">
        <v>112</v>
      </c>
      <c r="AG82" s="124">
        <f t="shared" si="55"/>
        <v>0.25836789003862598</v>
      </c>
      <c r="AH82" s="113">
        <f t="shared" si="54"/>
        <v>2.875E-3</v>
      </c>
      <c r="AI82" s="112">
        <f t="shared" si="59"/>
        <v>1.3964784456587736E-2</v>
      </c>
      <c r="AJ82" s="127" t="s">
        <v>112</v>
      </c>
      <c r="AK82" s="127" t="s">
        <v>112</v>
      </c>
      <c r="AL82" s="127" t="s">
        <v>112</v>
      </c>
      <c r="AM82" s="127" t="s">
        <v>112</v>
      </c>
      <c r="AN82" s="127" t="s">
        <v>112</v>
      </c>
      <c r="AO82" s="127" t="s">
        <v>112</v>
      </c>
      <c r="AP82" s="114">
        <f t="shared" si="60"/>
        <v>0.27520767449521372</v>
      </c>
      <c r="AQ82" s="127" t="s">
        <v>112</v>
      </c>
      <c r="AR82" s="114">
        <f t="shared" si="61"/>
        <v>0.55723942449521369</v>
      </c>
      <c r="AS82" s="122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59"/>
      <c r="BI82" s="59"/>
      <c r="BJ82" s="59"/>
      <c r="BK82" s="59"/>
      <c r="BL82" s="59"/>
      <c r="BM82" s="59"/>
      <c r="BN82" s="59"/>
      <c r="BO82" s="59"/>
      <c r="BP82" s="59"/>
      <c r="BQ82" s="59"/>
      <c r="BR82" s="59"/>
      <c r="BS82" s="59"/>
      <c r="BT82" s="59"/>
      <c r="BU82" s="59"/>
      <c r="BV82" s="59"/>
    </row>
    <row r="83" spans="1:74" s="125" customFormat="1" ht="24.75" customHeight="1" x14ac:dyDescent="0.35">
      <c r="A83" s="105" t="s">
        <v>282</v>
      </c>
      <c r="B83" s="129" t="s">
        <v>151</v>
      </c>
      <c r="C83" s="129" t="s">
        <v>293</v>
      </c>
      <c r="D83" s="140" t="s">
        <v>299</v>
      </c>
      <c r="E83" s="105" t="s">
        <v>155</v>
      </c>
      <c r="F83" s="140" t="s">
        <v>303</v>
      </c>
      <c r="G83" s="140">
        <v>21060002</v>
      </c>
      <c r="H83" s="130" t="s">
        <v>307</v>
      </c>
      <c r="I83" s="122"/>
      <c r="J83" s="129" t="s">
        <v>311</v>
      </c>
      <c r="K83" s="122" t="s">
        <v>166</v>
      </c>
      <c r="L83" s="122">
        <v>1</v>
      </c>
      <c r="M83" s="122" t="s">
        <v>167</v>
      </c>
      <c r="N83" s="122"/>
      <c r="O83" s="122"/>
      <c r="P83" s="122"/>
      <c r="Q83" s="122"/>
      <c r="R83" s="122"/>
      <c r="S83" s="110"/>
      <c r="T83" s="142">
        <v>2.2999999999999998</v>
      </c>
      <c r="U83" s="142">
        <v>2.2999999999999998</v>
      </c>
      <c r="V83" s="142">
        <v>2.2999999999999998</v>
      </c>
      <c r="W83" s="110">
        <v>1647</v>
      </c>
      <c r="X83" s="111">
        <f t="shared" si="56"/>
        <v>189.40499999999997</v>
      </c>
      <c r="Y83" s="83">
        <f t="shared" si="62"/>
        <v>198.87525000000002</v>
      </c>
      <c r="Z83" s="111">
        <f t="shared" si="57"/>
        <v>75.762</v>
      </c>
      <c r="AA83" s="127" t="s">
        <v>112</v>
      </c>
      <c r="AB83" s="127" t="s">
        <v>112</v>
      </c>
      <c r="AC83" s="127" t="s">
        <v>112</v>
      </c>
      <c r="AD83" s="111">
        <f t="shared" si="58"/>
        <v>464.04225000000002</v>
      </c>
      <c r="AE83" s="112">
        <f t="shared" si="53"/>
        <v>0.28203175000000003</v>
      </c>
      <c r="AF83" s="127" t="s">
        <v>112</v>
      </c>
      <c r="AG83" s="124">
        <f t="shared" si="55"/>
        <v>0.25836789003862598</v>
      </c>
      <c r="AH83" s="113">
        <f t="shared" si="54"/>
        <v>2.875E-3</v>
      </c>
      <c r="AI83" s="112">
        <f t="shared" si="59"/>
        <v>1.3964784456587736E-2</v>
      </c>
      <c r="AJ83" s="127" t="s">
        <v>112</v>
      </c>
      <c r="AK83" s="127" t="s">
        <v>112</v>
      </c>
      <c r="AL83" s="127" t="s">
        <v>112</v>
      </c>
      <c r="AM83" s="127" t="s">
        <v>112</v>
      </c>
      <c r="AN83" s="127" t="s">
        <v>112</v>
      </c>
      <c r="AO83" s="127" t="s">
        <v>112</v>
      </c>
      <c r="AP83" s="114">
        <f t="shared" si="60"/>
        <v>0.27520767449521372</v>
      </c>
      <c r="AQ83" s="127" t="s">
        <v>112</v>
      </c>
      <c r="AR83" s="114">
        <f t="shared" si="61"/>
        <v>0.55723942449521369</v>
      </c>
      <c r="AS83" s="122"/>
      <c r="AT83" s="59"/>
      <c r="AU83" s="59"/>
      <c r="AV83" s="59"/>
      <c r="AW83" s="59"/>
      <c r="AX83" s="59"/>
      <c r="AY83" s="59"/>
      <c r="AZ83" s="59"/>
      <c r="BA83" s="59"/>
      <c r="BB83" s="59"/>
      <c r="BC83" s="59"/>
      <c r="BD83" s="59"/>
      <c r="BE83" s="59"/>
      <c r="BF83" s="59"/>
      <c r="BG83" s="59"/>
      <c r="BH83" s="59"/>
      <c r="BI83" s="59"/>
      <c r="BJ83" s="59"/>
      <c r="BK83" s="59"/>
      <c r="BL83" s="59"/>
      <c r="BM83" s="59"/>
      <c r="BN83" s="59"/>
      <c r="BO83" s="59"/>
      <c r="BP83" s="59"/>
      <c r="BQ83" s="59"/>
      <c r="BR83" s="59"/>
      <c r="BS83" s="59"/>
      <c r="BT83" s="59"/>
      <c r="BU83" s="59"/>
      <c r="BV83" s="59"/>
    </row>
    <row r="84" spans="1:74" s="125" customFormat="1" ht="24.75" customHeight="1" x14ac:dyDescent="0.35">
      <c r="A84" s="105" t="s">
        <v>283</v>
      </c>
      <c r="B84" s="129" t="s">
        <v>151</v>
      </c>
      <c r="C84" s="129" t="s">
        <v>293</v>
      </c>
      <c r="D84" s="140" t="s">
        <v>300</v>
      </c>
      <c r="E84" s="105" t="s">
        <v>155</v>
      </c>
      <c r="F84" s="140" t="s">
        <v>303</v>
      </c>
      <c r="G84" s="140">
        <v>21060002</v>
      </c>
      <c r="H84" s="130" t="s">
        <v>308</v>
      </c>
      <c r="I84" s="122"/>
      <c r="J84" s="129" t="s">
        <v>311</v>
      </c>
      <c r="K84" s="122" t="s">
        <v>166</v>
      </c>
      <c r="L84" s="122">
        <v>1</v>
      </c>
      <c r="M84" s="122" t="s">
        <v>167</v>
      </c>
      <c r="N84" s="122"/>
      <c r="O84" s="122"/>
      <c r="P84" s="122"/>
      <c r="Q84" s="122"/>
      <c r="R84" s="122"/>
      <c r="S84" s="110"/>
      <c r="T84" s="142">
        <v>6.9</v>
      </c>
      <c r="U84" s="142">
        <v>6.9</v>
      </c>
      <c r="V84" s="142">
        <v>6.9</v>
      </c>
      <c r="W84" s="110">
        <v>1647</v>
      </c>
      <c r="X84" s="111">
        <f t="shared" si="56"/>
        <v>568.21500000000003</v>
      </c>
      <c r="Y84" s="83">
        <f t="shared" si="62"/>
        <v>596.62575000000004</v>
      </c>
      <c r="Z84" s="111">
        <f t="shared" si="57"/>
        <v>227.28600000000003</v>
      </c>
      <c r="AA84" s="127" t="s">
        <v>112</v>
      </c>
      <c r="AB84" s="127" t="s">
        <v>112</v>
      </c>
      <c r="AC84" s="127" t="s">
        <v>112</v>
      </c>
      <c r="AD84" s="111">
        <f t="shared" si="58"/>
        <v>1392.1267500000001</v>
      </c>
      <c r="AE84" s="112">
        <f t="shared" si="53"/>
        <v>0.84609525000000008</v>
      </c>
      <c r="AF84" s="127" t="s">
        <v>112</v>
      </c>
      <c r="AG84" s="124">
        <f t="shared" si="55"/>
        <v>0.25836789003862598</v>
      </c>
      <c r="AH84" s="113">
        <f t="shared" si="54"/>
        <v>8.6250000000000007E-3</v>
      </c>
      <c r="AI84" s="112">
        <f t="shared" si="59"/>
        <v>4.1894353369763208E-2</v>
      </c>
      <c r="AJ84" s="127" t="s">
        <v>112</v>
      </c>
      <c r="AK84" s="127" t="s">
        <v>112</v>
      </c>
      <c r="AL84" s="127" t="s">
        <v>112</v>
      </c>
      <c r="AM84" s="127" t="s">
        <v>112</v>
      </c>
      <c r="AN84" s="127" t="s">
        <v>112</v>
      </c>
      <c r="AO84" s="127" t="s">
        <v>112</v>
      </c>
      <c r="AP84" s="114">
        <f t="shared" si="60"/>
        <v>0.30888724340838919</v>
      </c>
      <c r="AQ84" s="127" t="s">
        <v>112</v>
      </c>
      <c r="AR84" s="114">
        <f t="shared" si="61"/>
        <v>1.1549824934083892</v>
      </c>
      <c r="AS84" s="122"/>
      <c r="AT84" s="59"/>
      <c r="AU84" s="59"/>
      <c r="AV84" s="59"/>
      <c r="AW84" s="59"/>
      <c r="AX84" s="59"/>
      <c r="AY84" s="59"/>
      <c r="AZ84" s="59"/>
      <c r="BA84" s="59"/>
      <c r="BB84" s="59"/>
      <c r="BC84" s="59"/>
      <c r="BD84" s="59"/>
      <c r="BE84" s="59"/>
      <c r="BF84" s="59"/>
      <c r="BG84" s="59"/>
      <c r="BH84" s="59"/>
      <c r="BI84" s="59"/>
      <c r="BJ84" s="59"/>
      <c r="BK84" s="59"/>
      <c r="BL84" s="59"/>
      <c r="BM84" s="59"/>
      <c r="BN84" s="59"/>
      <c r="BO84" s="59"/>
      <c r="BP84" s="59"/>
      <c r="BQ84" s="59"/>
      <c r="BR84" s="59"/>
      <c r="BS84" s="59"/>
      <c r="BT84" s="59"/>
      <c r="BU84" s="59"/>
      <c r="BV84" s="59"/>
    </row>
    <row r="85" spans="1:74" s="125" customFormat="1" ht="24.75" customHeight="1" x14ac:dyDescent="0.35">
      <c r="A85" s="105" t="s">
        <v>284</v>
      </c>
      <c r="B85" s="129" t="s">
        <v>151</v>
      </c>
      <c r="C85" s="129" t="s">
        <v>293</v>
      </c>
      <c r="D85" s="140" t="s">
        <v>300</v>
      </c>
      <c r="E85" s="105" t="s">
        <v>155</v>
      </c>
      <c r="F85" s="140" t="s">
        <v>303</v>
      </c>
      <c r="G85" s="140">
        <v>21060002</v>
      </c>
      <c r="H85" s="130" t="s">
        <v>308</v>
      </c>
      <c r="I85" s="122"/>
      <c r="J85" s="129" t="s">
        <v>311</v>
      </c>
      <c r="K85" s="122" t="s">
        <v>166</v>
      </c>
      <c r="L85" s="122">
        <v>1</v>
      </c>
      <c r="M85" s="122" t="s">
        <v>167</v>
      </c>
      <c r="N85" s="122"/>
      <c r="O85" s="122"/>
      <c r="P85" s="122"/>
      <c r="Q85" s="122"/>
      <c r="R85" s="122"/>
      <c r="S85" s="110"/>
      <c r="T85" s="142">
        <v>6.9</v>
      </c>
      <c r="U85" s="142">
        <v>6.9</v>
      </c>
      <c r="V85" s="142">
        <v>6.9</v>
      </c>
      <c r="W85" s="110">
        <v>1647</v>
      </c>
      <c r="X85" s="111">
        <f t="shared" si="56"/>
        <v>568.21500000000003</v>
      </c>
      <c r="Y85" s="83">
        <f t="shared" si="62"/>
        <v>596.62575000000004</v>
      </c>
      <c r="Z85" s="111">
        <f t="shared" si="57"/>
        <v>227.28600000000003</v>
      </c>
      <c r="AA85" s="127" t="s">
        <v>112</v>
      </c>
      <c r="AB85" s="127" t="s">
        <v>112</v>
      </c>
      <c r="AC85" s="127" t="s">
        <v>112</v>
      </c>
      <c r="AD85" s="111">
        <f t="shared" si="58"/>
        <v>1392.1267500000001</v>
      </c>
      <c r="AE85" s="112">
        <f t="shared" si="53"/>
        <v>0.84609525000000008</v>
      </c>
      <c r="AF85" s="127" t="s">
        <v>112</v>
      </c>
      <c r="AG85" s="124">
        <f t="shared" si="55"/>
        <v>0.25836789003862598</v>
      </c>
      <c r="AH85" s="113">
        <f t="shared" si="54"/>
        <v>8.6250000000000007E-3</v>
      </c>
      <c r="AI85" s="112">
        <f t="shared" si="59"/>
        <v>4.1894353369763208E-2</v>
      </c>
      <c r="AJ85" s="127" t="s">
        <v>112</v>
      </c>
      <c r="AK85" s="127" t="s">
        <v>112</v>
      </c>
      <c r="AL85" s="127" t="s">
        <v>112</v>
      </c>
      <c r="AM85" s="127" t="s">
        <v>112</v>
      </c>
      <c r="AN85" s="127" t="s">
        <v>112</v>
      </c>
      <c r="AO85" s="127" t="s">
        <v>112</v>
      </c>
      <c r="AP85" s="114">
        <f t="shared" si="60"/>
        <v>0.30888724340838919</v>
      </c>
      <c r="AQ85" s="127" t="s">
        <v>112</v>
      </c>
      <c r="AR85" s="114">
        <f t="shared" si="61"/>
        <v>1.1549824934083892</v>
      </c>
      <c r="AS85" s="122"/>
      <c r="AT85" s="59"/>
      <c r="AU85" s="59"/>
      <c r="AV85" s="59"/>
      <c r="AW85" s="59"/>
      <c r="AX85" s="59"/>
      <c r="AY85" s="59"/>
      <c r="AZ85" s="59"/>
      <c r="BA85" s="59"/>
      <c r="BB85" s="59"/>
      <c r="BC85" s="59"/>
      <c r="BD85" s="59"/>
      <c r="BE85" s="59"/>
      <c r="BF85" s="59"/>
      <c r="BG85" s="59"/>
      <c r="BH85" s="59"/>
      <c r="BI85" s="59"/>
      <c r="BJ85" s="59"/>
      <c r="BK85" s="59"/>
      <c r="BL85" s="59"/>
      <c r="BM85" s="59"/>
      <c r="BN85" s="59"/>
      <c r="BO85" s="59"/>
      <c r="BP85" s="59"/>
      <c r="BQ85" s="59"/>
      <c r="BR85" s="59"/>
      <c r="BS85" s="59"/>
      <c r="BT85" s="59"/>
      <c r="BU85" s="59"/>
      <c r="BV85" s="59"/>
    </row>
    <row r="86" spans="1:74" s="125" customFormat="1" ht="24.75" customHeight="1" x14ac:dyDescent="0.35">
      <c r="A86" s="105" t="s">
        <v>285</v>
      </c>
      <c r="B86" s="129" t="s">
        <v>151</v>
      </c>
      <c r="C86" s="129" t="s">
        <v>293</v>
      </c>
      <c r="D86" s="140" t="s">
        <v>300</v>
      </c>
      <c r="E86" s="105" t="s">
        <v>155</v>
      </c>
      <c r="F86" s="140" t="s">
        <v>303</v>
      </c>
      <c r="G86" s="140">
        <v>21060002</v>
      </c>
      <c r="H86" s="130" t="s">
        <v>308</v>
      </c>
      <c r="I86" s="122"/>
      <c r="J86" s="129" t="s">
        <v>311</v>
      </c>
      <c r="K86" s="122" t="s">
        <v>166</v>
      </c>
      <c r="L86" s="122">
        <v>1</v>
      </c>
      <c r="M86" s="122" t="s">
        <v>167</v>
      </c>
      <c r="N86" s="122"/>
      <c r="O86" s="122"/>
      <c r="P86" s="122"/>
      <c r="Q86" s="122"/>
      <c r="R86" s="122"/>
      <c r="S86" s="110"/>
      <c r="T86" s="142">
        <v>6.9</v>
      </c>
      <c r="U86" s="142">
        <v>6.9</v>
      </c>
      <c r="V86" s="142">
        <v>6.9</v>
      </c>
      <c r="W86" s="110">
        <v>1647</v>
      </c>
      <c r="X86" s="111">
        <f t="shared" si="56"/>
        <v>568.21500000000003</v>
      </c>
      <c r="Y86" s="83">
        <f t="shared" si="62"/>
        <v>596.62575000000004</v>
      </c>
      <c r="Z86" s="111">
        <f t="shared" si="57"/>
        <v>227.28600000000003</v>
      </c>
      <c r="AA86" s="127" t="s">
        <v>112</v>
      </c>
      <c r="AB86" s="127" t="s">
        <v>112</v>
      </c>
      <c r="AC86" s="127" t="s">
        <v>112</v>
      </c>
      <c r="AD86" s="111">
        <f t="shared" si="58"/>
        <v>1392.1267500000001</v>
      </c>
      <c r="AE86" s="112">
        <f t="shared" si="53"/>
        <v>0.84609525000000008</v>
      </c>
      <c r="AF86" s="127" t="s">
        <v>112</v>
      </c>
      <c r="AG86" s="124">
        <f t="shared" si="55"/>
        <v>0.25836789003862598</v>
      </c>
      <c r="AH86" s="113">
        <f t="shared" si="54"/>
        <v>8.6250000000000007E-3</v>
      </c>
      <c r="AI86" s="112">
        <f t="shared" si="59"/>
        <v>4.1894353369763208E-2</v>
      </c>
      <c r="AJ86" s="127" t="s">
        <v>112</v>
      </c>
      <c r="AK86" s="127" t="s">
        <v>112</v>
      </c>
      <c r="AL86" s="127" t="s">
        <v>112</v>
      </c>
      <c r="AM86" s="127" t="s">
        <v>112</v>
      </c>
      <c r="AN86" s="127" t="s">
        <v>112</v>
      </c>
      <c r="AO86" s="127" t="s">
        <v>112</v>
      </c>
      <c r="AP86" s="114">
        <f t="shared" si="60"/>
        <v>0.30888724340838919</v>
      </c>
      <c r="AQ86" s="127" t="s">
        <v>112</v>
      </c>
      <c r="AR86" s="114">
        <f t="shared" si="61"/>
        <v>1.1549824934083892</v>
      </c>
      <c r="AS86" s="122"/>
      <c r="AT86" s="59"/>
      <c r="AU86" s="59"/>
      <c r="AV86" s="59"/>
      <c r="AW86" s="59"/>
      <c r="AX86" s="59"/>
      <c r="AY86" s="59"/>
      <c r="AZ86" s="59"/>
      <c r="BA86" s="59"/>
      <c r="BB86" s="59"/>
      <c r="BC86" s="59"/>
      <c r="BD86" s="59"/>
      <c r="BE86" s="59"/>
      <c r="BF86" s="59"/>
      <c r="BG86" s="59"/>
      <c r="BH86" s="59"/>
      <c r="BI86" s="59"/>
      <c r="BJ86" s="59"/>
      <c r="BK86" s="59"/>
      <c r="BL86" s="59"/>
      <c r="BM86" s="59"/>
      <c r="BN86" s="59"/>
      <c r="BO86" s="59"/>
      <c r="BP86" s="59"/>
      <c r="BQ86" s="59"/>
      <c r="BR86" s="59"/>
      <c r="BS86" s="59"/>
      <c r="BT86" s="59"/>
      <c r="BU86" s="59"/>
      <c r="BV86" s="59"/>
    </row>
    <row r="87" spans="1:74" s="125" customFormat="1" ht="24.75" customHeight="1" x14ac:dyDescent="0.35">
      <c r="A87" s="105" t="s">
        <v>286</v>
      </c>
      <c r="B87" s="129" t="s">
        <v>151</v>
      </c>
      <c r="C87" s="129" t="s">
        <v>293</v>
      </c>
      <c r="D87" s="140" t="s">
        <v>300</v>
      </c>
      <c r="E87" s="105" t="s">
        <v>155</v>
      </c>
      <c r="F87" s="140" t="s">
        <v>303</v>
      </c>
      <c r="G87" s="140">
        <v>21060002</v>
      </c>
      <c r="H87" s="130" t="s">
        <v>308</v>
      </c>
      <c r="I87" s="122"/>
      <c r="J87" s="129" t="s">
        <v>311</v>
      </c>
      <c r="K87" s="122" t="s">
        <v>166</v>
      </c>
      <c r="L87" s="122">
        <v>1</v>
      </c>
      <c r="M87" s="122" t="s">
        <v>167</v>
      </c>
      <c r="N87" s="122"/>
      <c r="O87" s="122"/>
      <c r="P87" s="122"/>
      <c r="Q87" s="122"/>
      <c r="R87" s="122"/>
      <c r="S87" s="110"/>
      <c r="T87" s="142">
        <v>6.9</v>
      </c>
      <c r="U87" s="142">
        <v>6.9</v>
      </c>
      <c r="V87" s="142">
        <v>6.9</v>
      </c>
      <c r="W87" s="110">
        <v>1647</v>
      </c>
      <c r="X87" s="111">
        <f t="shared" si="56"/>
        <v>568.21500000000003</v>
      </c>
      <c r="Y87" s="83">
        <f t="shared" si="62"/>
        <v>596.62575000000004</v>
      </c>
      <c r="Z87" s="111">
        <f t="shared" si="57"/>
        <v>227.28600000000003</v>
      </c>
      <c r="AA87" s="127" t="s">
        <v>112</v>
      </c>
      <c r="AB87" s="127" t="s">
        <v>112</v>
      </c>
      <c r="AC87" s="127" t="s">
        <v>112</v>
      </c>
      <c r="AD87" s="111">
        <f t="shared" si="58"/>
        <v>1392.1267500000001</v>
      </c>
      <c r="AE87" s="112">
        <f t="shared" si="53"/>
        <v>0.84609525000000008</v>
      </c>
      <c r="AF87" s="127" t="s">
        <v>112</v>
      </c>
      <c r="AG87" s="124">
        <f t="shared" si="55"/>
        <v>0.25836789003862598</v>
      </c>
      <c r="AH87" s="113">
        <f t="shared" si="54"/>
        <v>8.6250000000000007E-3</v>
      </c>
      <c r="AI87" s="112">
        <f t="shared" si="59"/>
        <v>4.1894353369763208E-2</v>
      </c>
      <c r="AJ87" s="127" t="s">
        <v>112</v>
      </c>
      <c r="AK87" s="127" t="s">
        <v>112</v>
      </c>
      <c r="AL87" s="127" t="s">
        <v>112</v>
      </c>
      <c r="AM87" s="127" t="s">
        <v>112</v>
      </c>
      <c r="AN87" s="127" t="s">
        <v>112</v>
      </c>
      <c r="AO87" s="127" t="s">
        <v>112</v>
      </c>
      <c r="AP87" s="114">
        <f t="shared" si="60"/>
        <v>0.30888724340838919</v>
      </c>
      <c r="AQ87" s="127" t="s">
        <v>112</v>
      </c>
      <c r="AR87" s="114">
        <f t="shared" si="61"/>
        <v>1.1549824934083892</v>
      </c>
      <c r="AS87" s="122"/>
      <c r="AT87" s="59"/>
      <c r="AU87" s="59"/>
      <c r="AV87" s="59"/>
      <c r="AW87" s="59"/>
      <c r="AX87" s="59"/>
      <c r="AY87" s="59"/>
      <c r="AZ87" s="59"/>
      <c r="BA87" s="59"/>
      <c r="BB87" s="59"/>
      <c r="BC87" s="59"/>
      <c r="BD87" s="59"/>
      <c r="BE87" s="59"/>
      <c r="BF87" s="59"/>
      <c r="BG87" s="59"/>
      <c r="BH87" s="59"/>
      <c r="BI87" s="59"/>
      <c r="BJ87" s="59"/>
      <c r="BK87" s="59"/>
      <c r="BL87" s="59"/>
      <c r="BM87" s="59"/>
      <c r="BN87" s="59"/>
      <c r="BO87" s="59"/>
      <c r="BP87" s="59"/>
      <c r="BQ87" s="59"/>
      <c r="BR87" s="59"/>
      <c r="BS87" s="59"/>
      <c r="BT87" s="59"/>
      <c r="BU87" s="59"/>
      <c r="BV87" s="59"/>
    </row>
    <row r="88" spans="1:74" s="125" customFormat="1" ht="24.75" customHeight="1" x14ac:dyDescent="0.35">
      <c r="A88" s="105" t="s">
        <v>287</v>
      </c>
      <c r="B88" s="129" t="s">
        <v>151</v>
      </c>
      <c r="C88" s="129" t="s">
        <v>293</v>
      </c>
      <c r="D88" s="140" t="s">
        <v>300</v>
      </c>
      <c r="E88" s="105" t="s">
        <v>155</v>
      </c>
      <c r="F88" s="140" t="s">
        <v>303</v>
      </c>
      <c r="G88" s="140">
        <v>21060002</v>
      </c>
      <c r="H88" s="130" t="s">
        <v>308</v>
      </c>
      <c r="I88" s="122"/>
      <c r="J88" s="129" t="s">
        <v>311</v>
      </c>
      <c r="K88" s="122" t="s">
        <v>166</v>
      </c>
      <c r="L88" s="122">
        <v>1</v>
      </c>
      <c r="M88" s="122" t="s">
        <v>167</v>
      </c>
      <c r="N88" s="122"/>
      <c r="O88" s="122"/>
      <c r="P88" s="122"/>
      <c r="Q88" s="122"/>
      <c r="R88" s="122"/>
      <c r="S88" s="110"/>
      <c r="T88" s="142">
        <v>6.9</v>
      </c>
      <c r="U88" s="142">
        <v>6.9</v>
      </c>
      <c r="V88" s="142">
        <v>6.9</v>
      </c>
      <c r="W88" s="110">
        <v>1647</v>
      </c>
      <c r="X88" s="111">
        <f t="shared" si="56"/>
        <v>568.21500000000003</v>
      </c>
      <c r="Y88" s="83">
        <f t="shared" si="62"/>
        <v>596.62575000000004</v>
      </c>
      <c r="Z88" s="111">
        <f t="shared" si="57"/>
        <v>227.28600000000003</v>
      </c>
      <c r="AA88" s="127" t="s">
        <v>112</v>
      </c>
      <c r="AB88" s="127" t="s">
        <v>112</v>
      </c>
      <c r="AC88" s="127" t="s">
        <v>112</v>
      </c>
      <c r="AD88" s="111">
        <f t="shared" si="58"/>
        <v>1392.1267500000001</v>
      </c>
      <c r="AE88" s="112">
        <f t="shared" si="53"/>
        <v>0.84609525000000008</v>
      </c>
      <c r="AF88" s="127" t="s">
        <v>112</v>
      </c>
      <c r="AG88" s="124">
        <f t="shared" si="55"/>
        <v>0.25836789003862598</v>
      </c>
      <c r="AH88" s="113">
        <f t="shared" si="54"/>
        <v>8.6250000000000007E-3</v>
      </c>
      <c r="AI88" s="112">
        <f t="shared" si="59"/>
        <v>4.1894353369763208E-2</v>
      </c>
      <c r="AJ88" s="127" t="s">
        <v>112</v>
      </c>
      <c r="AK88" s="127" t="s">
        <v>112</v>
      </c>
      <c r="AL88" s="127" t="s">
        <v>112</v>
      </c>
      <c r="AM88" s="127" t="s">
        <v>112</v>
      </c>
      <c r="AN88" s="127" t="s">
        <v>112</v>
      </c>
      <c r="AO88" s="127" t="s">
        <v>112</v>
      </c>
      <c r="AP88" s="114">
        <f t="shared" si="60"/>
        <v>0.30888724340838919</v>
      </c>
      <c r="AQ88" s="127" t="s">
        <v>112</v>
      </c>
      <c r="AR88" s="114">
        <f t="shared" si="61"/>
        <v>1.1549824934083892</v>
      </c>
      <c r="AS88" s="122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59"/>
      <c r="BI88" s="59"/>
      <c r="BJ88" s="59"/>
      <c r="BK88" s="59"/>
      <c r="BL88" s="59"/>
      <c r="BM88" s="59"/>
      <c r="BN88" s="59"/>
      <c r="BO88" s="59"/>
      <c r="BP88" s="59"/>
      <c r="BQ88" s="59"/>
      <c r="BR88" s="59"/>
      <c r="BS88" s="59"/>
      <c r="BT88" s="59"/>
      <c r="BU88" s="59"/>
      <c r="BV88" s="59"/>
    </row>
    <row r="89" spans="1:74" s="125" customFormat="1" ht="24.75" customHeight="1" x14ac:dyDescent="0.35">
      <c r="A89" s="105" t="s">
        <v>288</v>
      </c>
      <c r="B89" s="129" t="s">
        <v>151</v>
      </c>
      <c r="C89" s="129" t="s">
        <v>293</v>
      </c>
      <c r="D89" s="140" t="s">
        <v>300</v>
      </c>
      <c r="E89" s="105" t="s">
        <v>155</v>
      </c>
      <c r="F89" s="140" t="s">
        <v>303</v>
      </c>
      <c r="G89" s="140">
        <v>21060002</v>
      </c>
      <c r="H89" s="130" t="s">
        <v>308</v>
      </c>
      <c r="I89" s="122"/>
      <c r="J89" s="129" t="s">
        <v>311</v>
      </c>
      <c r="K89" s="122" t="s">
        <v>166</v>
      </c>
      <c r="L89" s="122">
        <v>1</v>
      </c>
      <c r="M89" s="122" t="s">
        <v>167</v>
      </c>
      <c r="N89" s="122"/>
      <c r="O89" s="122"/>
      <c r="P89" s="122"/>
      <c r="Q89" s="122"/>
      <c r="R89" s="122"/>
      <c r="S89" s="110"/>
      <c r="T89" s="142">
        <v>6.9</v>
      </c>
      <c r="U89" s="142">
        <v>6.9</v>
      </c>
      <c r="V89" s="142">
        <v>6.9</v>
      </c>
      <c r="W89" s="110">
        <v>1647</v>
      </c>
      <c r="X89" s="111">
        <f t="shared" si="56"/>
        <v>568.21500000000003</v>
      </c>
      <c r="Y89" s="83">
        <f t="shared" si="62"/>
        <v>596.62575000000004</v>
      </c>
      <c r="Z89" s="111">
        <f t="shared" si="57"/>
        <v>227.28600000000003</v>
      </c>
      <c r="AA89" s="127" t="s">
        <v>112</v>
      </c>
      <c r="AB89" s="127" t="s">
        <v>112</v>
      </c>
      <c r="AC89" s="127" t="s">
        <v>112</v>
      </c>
      <c r="AD89" s="111">
        <f t="shared" si="58"/>
        <v>1392.1267500000001</v>
      </c>
      <c r="AE89" s="112">
        <f t="shared" si="53"/>
        <v>0.84609525000000008</v>
      </c>
      <c r="AF89" s="127" t="s">
        <v>112</v>
      </c>
      <c r="AG89" s="124">
        <f t="shared" si="55"/>
        <v>0.25836789003862598</v>
      </c>
      <c r="AH89" s="113">
        <f t="shared" si="54"/>
        <v>8.6250000000000007E-3</v>
      </c>
      <c r="AI89" s="112">
        <f t="shared" si="59"/>
        <v>4.1894353369763208E-2</v>
      </c>
      <c r="AJ89" s="127" t="s">
        <v>112</v>
      </c>
      <c r="AK89" s="127" t="s">
        <v>112</v>
      </c>
      <c r="AL89" s="127" t="s">
        <v>112</v>
      </c>
      <c r="AM89" s="127" t="s">
        <v>112</v>
      </c>
      <c r="AN89" s="127" t="s">
        <v>112</v>
      </c>
      <c r="AO89" s="127" t="s">
        <v>112</v>
      </c>
      <c r="AP89" s="114">
        <f t="shared" si="60"/>
        <v>0.30888724340838919</v>
      </c>
      <c r="AQ89" s="127" t="s">
        <v>112</v>
      </c>
      <c r="AR89" s="114">
        <f t="shared" si="61"/>
        <v>1.1549824934083892</v>
      </c>
      <c r="AS89" s="122"/>
      <c r="AT89" s="59"/>
      <c r="AU89" s="59"/>
      <c r="AV89" s="59"/>
      <c r="AW89" s="59"/>
      <c r="AX89" s="59"/>
      <c r="AY89" s="59"/>
      <c r="AZ89" s="59"/>
      <c r="BA89" s="59"/>
      <c r="BB89" s="59"/>
      <c r="BC89" s="59"/>
      <c r="BD89" s="59"/>
      <c r="BE89" s="59"/>
      <c r="BF89" s="59"/>
      <c r="BG89" s="59"/>
      <c r="BH89" s="59"/>
      <c r="BI89" s="59"/>
      <c r="BJ89" s="59"/>
      <c r="BK89" s="59"/>
      <c r="BL89" s="59"/>
      <c r="BM89" s="59"/>
      <c r="BN89" s="59"/>
      <c r="BO89" s="59"/>
      <c r="BP89" s="59"/>
      <c r="BQ89" s="59"/>
      <c r="BR89" s="59"/>
      <c r="BS89" s="59"/>
      <c r="BT89" s="59"/>
      <c r="BU89" s="59"/>
      <c r="BV89" s="59"/>
    </row>
    <row r="90" spans="1:74" s="125" customFormat="1" ht="24.75" customHeight="1" x14ac:dyDescent="0.35">
      <c r="A90" s="105" t="s">
        <v>289</v>
      </c>
      <c r="B90" s="129" t="s">
        <v>151</v>
      </c>
      <c r="C90" s="129" t="s">
        <v>293</v>
      </c>
      <c r="D90" s="140" t="s">
        <v>300</v>
      </c>
      <c r="E90" s="105" t="s">
        <v>155</v>
      </c>
      <c r="F90" s="140" t="s">
        <v>303</v>
      </c>
      <c r="G90" s="140">
        <v>21060002</v>
      </c>
      <c r="H90" s="130" t="s">
        <v>308</v>
      </c>
      <c r="I90" s="122"/>
      <c r="J90" s="129" t="s">
        <v>311</v>
      </c>
      <c r="K90" s="122" t="s">
        <v>166</v>
      </c>
      <c r="L90" s="122">
        <v>1</v>
      </c>
      <c r="M90" s="122" t="s">
        <v>167</v>
      </c>
      <c r="N90" s="122"/>
      <c r="O90" s="122"/>
      <c r="P90" s="122"/>
      <c r="Q90" s="122"/>
      <c r="R90" s="122"/>
      <c r="S90" s="110"/>
      <c r="T90" s="142">
        <v>6.9</v>
      </c>
      <c r="U90" s="142">
        <v>6.9</v>
      </c>
      <c r="V90" s="142">
        <v>6.9</v>
      </c>
      <c r="W90" s="110">
        <v>1647</v>
      </c>
      <c r="X90" s="111">
        <f t="shared" si="56"/>
        <v>568.21500000000003</v>
      </c>
      <c r="Y90" s="83">
        <f t="shared" si="62"/>
        <v>596.62575000000004</v>
      </c>
      <c r="Z90" s="111">
        <f t="shared" si="57"/>
        <v>227.28600000000003</v>
      </c>
      <c r="AA90" s="127" t="s">
        <v>112</v>
      </c>
      <c r="AB90" s="127" t="s">
        <v>112</v>
      </c>
      <c r="AC90" s="127" t="s">
        <v>112</v>
      </c>
      <c r="AD90" s="111">
        <f t="shared" si="58"/>
        <v>1392.1267500000001</v>
      </c>
      <c r="AE90" s="112">
        <f t="shared" si="53"/>
        <v>0.84609525000000008</v>
      </c>
      <c r="AF90" s="127" t="s">
        <v>112</v>
      </c>
      <c r="AG90" s="124">
        <f t="shared" si="55"/>
        <v>0.25836789003862598</v>
      </c>
      <c r="AH90" s="113">
        <f t="shared" si="54"/>
        <v>8.6250000000000007E-3</v>
      </c>
      <c r="AI90" s="112">
        <f t="shared" si="59"/>
        <v>4.1894353369763208E-2</v>
      </c>
      <c r="AJ90" s="127" t="s">
        <v>112</v>
      </c>
      <c r="AK90" s="127" t="s">
        <v>112</v>
      </c>
      <c r="AL90" s="127" t="s">
        <v>112</v>
      </c>
      <c r="AM90" s="127" t="s">
        <v>112</v>
      </c>
      <c r="AN90" s="127" t="s">
        <v>112</v>
      </c>
      <c r="AO90" s="127" t="s">
        <v>112</v>
      </c>
      <c r="AP90" s="114">
        <f t="shared" si="60"/>
        <v>0.30888724340838919</v>
      </c>
      <c r="AQ90" s="127" t="s">
        <v>112</v>
      </c>
      <c r="AR90" s="114">
        <f t="shared" si="61"/>
        <v>1.1549824934083892</v>
      </c>
      <c r="AS90" s="122"/>
      <c r="AT90" s="59"/>
      <c r="AU90" s="59"/>
      <c r="AV90" s="59"/>
      <c r="AW90" s="59"/>
      <c r="AX90" s="59"/>
      <c r="AY90" s="59"/>
      <c r="AZ90" s="59"/>
      <c r="BA90" s="59"/>
      <c r="BB90" s="59"/>
      <c r="BC90" s="59"/>
      <c r="BD90" s="59"/>
      <c r="BE90" s="59"/>
      <c r="BF90" s="59"/>
      <c r="BG90" s="59"/>
      <c r="BH90" s="59"/>
      <c r="BI90" s="59"/>
      <c r="BJ90" s="59"/>
      <c r="BK90" s="59"/>
      <c r="BL90" s="59"/>
      <c r="BM90" s="59"/>
      <c r="BN90" s="59"/>
      <c r="BO90" s="59"/>
      <c r="BP90" s="59"/>
      <c r="BQ90" s="59"/>
      <c r="BR90" s="59"/>
      <c r="BS90" s="59"/>
      <c r="BT90" s="59"/>
      <c r="BU90" s="59"/>
      <c r="BV90" s="59"/>
    </row>
    <row r="91" spans="1:74" s="125" customFormat="1" ht="24.75" customHeight="1" x14ac:dyDescent="0.35">
      <c r="A91" s="105" t="s">
        <v>290</v>
      </c>
      <c r="B91" s="129" t="s">
        <v>151</v>
      </c>
      <c r="C91" s="129" t="s">
        <v>293</v>
      </c>
      <c r="D91" s="140" t="s">
        <v>300</v>
      </c>
      <c r="E91" s="105" t="s">
        <v>155</v>
      </c>
      <c r="F91" s="140" t="s">
        <v>303</v>
      </c>
      <c r="G91" s="140">
        <v>21060002</v>
      </c>
      <c r="H91" s="130" t="s">
        <v>308</v>
      </c>
      <c r="I91" s="122"/>
      <c r="J91" s="129" t="s">
        <v>311</v>
      </c>
      <c r="K91" s="122" t="s">
        <v>166</v>
      </c>
      <c r="L91" s="122">
        <v>1</v>
      </c>
      <c r="M91" s="122" t="s">
        <v>167</v>
      </c>
      <c r="N91" s="122"/>
      <c r="O91" s="122"/>
      <c r="P91" s="122"/>
      <c r="Q91" s="122"/>
      <c r="R91" s="122"/>
      <c r="S91" s="110"/>
      <c r="T91" s="142">
        <v>6.9</v>
      </c>
      <c r="U91" s="142">
        <v>6.9</v>
      </c>
      <c r="V91" s="142">
        <v>6.9</v>
      </c>
      <c r="W91" s="110">
        <v>1647</v>
      </c>
      <c r="X91" s="111">
        <f t="shared" si="56"/>
        <v>568.21500000000003</v>
      </c>
      <c r="Y91" s="83">
        <f t="shared" si="62"/>
        <v>596.62575000000004</v>
      </c>
      <c r="Z91" s="111">
        <f t="shared" si="57"/>
        <v>227.28600000000003</v>
      </c>
      <c r="AA91" s="127" t="s">
        <v>112</v>
      </c>
      <c r="AB91" s="127" t="s">
        <v>112</v>
      </c>
      <c r="AC91" s="127" t="s">
        <v>112</v>
      </c>
      <c r="AD91" s="111">
        <f t="shared" si="58"/>
        <v>1392.1267500000001</v>
      </c>
      <c r="AE91" s="112">
        <f t="shared" si="53"/>
        <v>0.84609525000000008</v>
      </c>
      <c r="AF91" s="127" t="s">
        <v>112</v>
      </c>
      <c r="AG91" s="124">
        <f t="shared" si="55"/>
        <v>0.25836789003862598</v>
      </c>
      <c r="AH91" s="113">
        <f t="shared" si="54"/>
        <v>8.6250000000000007E-3</v>
      </c>
      <c r="AI91" s="112">
        <f t="shared" si="59"/>
        <v>4.1894353369763208E-2</v>
      </c>
      <c r="AJ91" s="127" t="s">
        <v>112</v>
      </c>
      <c r="AK91" s="127" t="s">
        <v>112</v>
      </c>
      <c r="AL91" s="127" t="s">
        <v>112</v>
      </c>
      <c r="AM91" s="127" t="s">
        <v>112</v>
      </c>
      <c r="AN91" s="127" t="s">
        <v>112</v>
      </c>
      <c r="AO91" s="127" t="s">
        <v>112</v>
      </c>
      <c r="AP91" s="114">
        <f t="shared" si="60"/>
        <v>0.30888724340838919</v>
      </c>
      <c r="AQ91" s="127" t="s">
        <v>112</v>
      </c>
      <c r="AR91" s="114">
        <f t="shared" si="61"/>
        <v>1.1549824934083892</v>
      </c>
      <c r="AS91" s="122"/>
      <c r="AT91" s="59"/>
      <c r="AU91" s="59"/>
      <c r="AV91" s="59"/>
      <c r="AW91" s="59"/>
      <c r="AX91" s="59"/>
      <c r="AY91" s="59"/>
      <c r="AZ91" s="59"/>
      <c r="BA91" s="59"/>
      <c r="BB91" s="59"/>
      <c r="BC91" s="59"/>
      <c r="BD91" s="59"/>
      <c r="BE91" s="59"/>
      <c r="BF91" s="59"/>
      <c r="BG91" s="59"/>
      <c r="BH91" s="59"/>
      <c r="BI91" s="59"/>
      <c r="BJ91" s="59"/>
      <c r="BK91" s="59"/>
      <c r="BL91" s="59"/>
      <c r="BM91" s="59"/>
      <c r="BN91" s="59"/>
      <c r="BO91" s="59"/>
      <c r="BP91" s="59"/>
      <c r="BQ91" s="59"/>
      <c r="BR91" s="59"/>
      <c r="BS91" s="59"/>
      <c r="BT91" s="59"/>
      <c r="BU91" s="59"/>
      <c r="BV91" s="59"/>
    </row>
    <row r="92" spans="1:74" s="125" customFormat="1" ht="24.75" customHeight="1" x14ac:dyDescent="0.35">
      <c r="A92" s="105" t="s">
        <v>291</v>
      </c>
      <c r="B92" s="129" t="s">
        <v>151</v>
      </c>
      <c r="C92" s="129" t="s">
        <v>293</v>
      </c>
      <c r="D92" s="140" t="s">
        <v>300</v>
      </c>
      <c r="E92" s="105" t="s">
        <v>155</v>
      </c>
      <c r="F92" s="140" t="s">
        <v>303</v>
      </c>
      <c r="G92" s="140">
        <v>21060002</v>
      </c>
      <c r="H92" s="130" t="s">
        <v>308</v>
      </c>
      <c r="I92" s="122"/>
      <c r="J92" s="129" t="s">
        <v>311</v>
      </c>
      <c r="K92" s="122" t="s">
        <v>166</v>
      </c>
      <c r="L92" s="122">
        <v>1</v>
      </c>
      <c r="M92" s="122" t="s">
        <v>167</v>
      </c>
      <c r="N92" s="122"/>
      <c r="O92" s="122"/>
      <c r="P92" s="122"/>
      <c r="Q92" s="122"/>
      <c r="R92" s="122"/>
      <c r="S92" s="110"/>
      <c r="T92" s="142">
        <v>6.9</v>
      </c>
      <c r="U92" s="142">
        <v>6.9</v>
      </c>
      <c r="V92" s="142">
        <v>6.9</v>
      </c>
      <c r="W92" s="110">
        <v>1647</v>
      </c>
      <c r="X92" s="111">
        <f t="shared" si="56"/>
        <v>568.21500000000003</v>
      </c>
      <c r="Y92" s="83">
        <f t="shared" si="62"/>
        <v>596.62575000000004</v>
      </c>
      <c r="Z92" s="111">
        <f t="shared" si="57"/>
        <v>227.28600000000003</v>
      </c>
      <c r="AA92" s="127" t="s">
        <v>112</v>
      </c>
      <c r="AB92" s="127" t="s">
        <v>112</v>
      </c>
      <c r="AC92" s="127" t="s">
        <v>112</v>
      </c>
      <c r="AD92" s="111">
        <f t="shared" si="58"/>
        <v>1392.1267500000001</v>
      </c>
      <c r="AE92" s="112">
        <f t="shared" si="53"/>
        <v>0.84609525000000008</v>
      </c>
      <c r="AF92" s="127" t="s">
        <v>112</v>
      </c>
      <c r="AG92" s="124">
        <f t="shared" si="55"/>
        <v>0.25836789003862598</v>
      </c>
      <c r="AH92" s="113">
        <f t="shared" si="54"/>
        <v>8.6250000000000007E-3</v>
      </c>
      <c r="AI92" s="112">
        <f>(V92*10)/W92</f>
        <v>4.1894353369763208E-2</v>
      </c>
      <c r="AJ92" s="127" t="s">
        <v>112</v>
      </c>
      <c r="AK92" s="127" t="s">
        <v>112</v>
      </c>
      <c r="AL92" s="127" t="s">
        <v>112</v>
      </c>
      <c r="AM92" s="127" t="s">
        <v>112</v>
      </c>
      <c r="AN92" s="127" t="s">
        <v>112</v>
      </c>
      <c r="AO92" s="127" t="s">
        <v>112</v>
      </c>
      <c r="AP92" s="114">
        <f t="shared" si="60"/>
        <v>0.30888724340838919</v>
      </c>
      <c r="AQ92" s="127" t="s">
        <v>112</v>
      </c>
      <c r="AR92" s="114">
        <f t="shared" si="61"/>
        <v>1.1549824934083892</v>
      </c>
      <c r="AS92" s="122"/>
      <c r="AT92" s="59"/>
      <c r="AU92" s="59"/>
      <c r="AV92" s="59"/>
      <c r="AW92" s="59"/>
      <c r="AX92" s="59"/>
      <c r="AY92" s="59"/>
      <c r="AZ92" s="59"/>
      <c r="BA92" s="59"/>
      <c r="BB92" s="59"/>
      <c r="BC92" s="59"/>
      <c r="BD92" s="59"/>
      <c r="BE92" s="59"/>
      <c r="BF92" s="59"/>
      <c r="BG92" s="59"/>
      <c r="BH92" s="59"/>
      <c r="BI92" s="59"/>
      <c r="BJ92" s="59"/>
      <c r="BK92" s="59"/>
      <c r="BL92" s="59"/>
      <c r="BM92" s="59"/>
      <c r="BN92" s="59"/>
      <c r="BO92" s="59"/>
      <c r="BP92" s="59"/>
      <c r="BQ92" s="59"/>
      <c r="BR92" s="59"/>
      <c r="BS92" s="59"/>
      <c r="BT92" s="59"/>
      <c r="BU92" s="59"/>
      <c r="BV92" s="59"/>
    </row>
    <row r="93" spans="1:74" s="125" customFormat="1" ht="24.75" customHeight="1" x14ac:dyDescent="0.35">
      <c r="A93" s="105" t="s">
        <v>292</v>
      </c>
      <c r="B93" s="129" t="s">
        <v>151</v>
      </c>
      <c r="C93" s="129" t="s">
        <v>293</v>
      </c>
      <c r="D93" s="140" t="s">
        <v>300</v>
      </c>
      <c r="E93" s="105" t="s">
        <v>155</v>
      </c>
      <c r="F93" s="140" t="s">
        <v>303</v>
      </c>
      <c r="G93" s="140">
        <v>21060002</v>
      </c>
      <c r="H93" s="130" t="s">
        <v>308</v>
      </c>
      <c r="I93" s="122"/>
      <c r="J93" s="129" t="s">
        <v>311</v>
      </c>
      <c r="K93" s="122" t="s">
        <v>166</v>
      </c>
      <c r="L93" s="122">
        <v>1</v>
      </c>
      <c r="M93" s="122" t="s">
        <v>167</v>
      </c>
      <c r="N93" s="122"/>
      <c r="O93" s="122"/>
      <c r="P93" s="122"/>
      <c r="Q93" s="122"/>
      <c r="R93" s="122"/>
      <c r="S93" s="110"/>
      <c r="T93" s="142">
        <v>6.9</v>
      </c>
      <c r="U93" s="142">
        <v>6.9</v>
      </c>
      <c r="V93" s="142">
        <v>6.9</v>
      </c>
      <c r="W93" s="110">
        <v>1647</v>
      </c>
      <c r="X93" s="111">
        <f t="shared" si="56"/>
        <v>568.21500000000003</v>
      </c>
      <c r="Y93" s="83">
        <f t="shared" si="62"/>
        <v>596.62575000000004</v>
      </c>
      <c r="Z93" s="111">
        <f t="shared" si="57"/>
        <v>227.28600000000003</v>
      </c>
      <c r="AA93" s="127" t="s">
        <v>112</v>
      </c>
      <c r="AB93" s="127" t="s">
        <v>112</v>
      </c>
      <c r="AC93" s="127" t="s">
        <v>112</v>
      </c>
      <c r="AD93" s="111">
        <f t="shared" si="58"/>
        <v>1392.1267500000001</v>
      </c>
      <c r="AE93" s="112">
        <f t="shared" si="53"/>
        <v>0.84609525000000008</v>
      </c>
      <c r="AF93" s="127" t="s">
        <v>112</v>
      </c>
      <c r="AG93" s="124">
        <f t="shared" si="55"/>
        <v>0.25836789003862598</v>
      </c>
      <c r="AH93" s="113">
        <f t="shared" si="54"/>
        <v>8.6250000000000007E-3</v>
      </c>
      <c r="AI93" s="112">
        <f>(V93*10)/W93</f>
        <v>4.1894353369763208E-2</v>
      </c>
      <c r="AJ93" s="127" t="s">
        <v>112</v>
      </c>
      <c r="AK93" s="127" t="s">
        <v>112</v>
      </c>
      <c r="AL93" s="127" t="s">
        <v>112</v>
      </c>
      <c r="AM93" s="127" t="s">
        <v>112</v>
      </c>
      <c r="AN93" s="127" t="s">
        <v>112</v>
      </c>
      <c r="AO93" s="127" t="s">
        <v>112</v>
      </c>
      <c r="AP93" s="114">
        <f t="shared" si="60"/>
        <v>0.30888724340838919</v>
      </c>
      <c r="AQ93" s="127" t="s">
        <v>112</v>
      </c>
      <c r="AR93" s="114">
        <f t="shared" si="61"/>
        <v>1.1549824934083892</v>
      </c>
      <c r="AS93" s="122"/>
      <c r="AT93" s="59"/>
      <c r="AU93" s="59"/>
      <c r="AV93" s="59"/>
      <c r="AW93" s="59"/>
      <c r="AX93" s="59"/>
      <c r="AY93" s="59"/>
      <c r="AZ93" s="59"/>
      <c r="BA93" s="59"/>
      <c r="BB93" s="59"/>
      <c r="BC93" s="59"/>
      <c r="BD93" s="59"/>
      <c r="BE93" s="59"/>
      <c r="BF93" s="59"/>
      <c r="BG93" s="59"/>
      <c r="BH93" s="59"/>
      <c r="BI93" s="59"/>
      <c r="BJ93" s="59"/>
      <c r="BK93" s="59"/>
      <c r="BL93" s="59"/>
      <c r="BM93" s="59"/>
      <c r="BN93" s="59"/>
      <c r="BO93" s="59"/>
      <c r="BP93" s="59"/>
      <c r="BQ93" s="59"/>
      <c r="BR93" s="59"/>
      <c r="BS93" s="59"/>
      <c r="BT93" s="59"/>
      <c r="BU93" s="59"/>
      <c r="BV93" s="59"/>
    </row>
    <row r="94" spans="1:74" ht="24.75" customHeight="1" x14ac:dyDescent="0.35">
      <c r="A94" s="116"/>
      <c r="B94" s="116"/>
      <c r="C94" s="116"/>
      <c r="D94" s="116"/>
      <c r="E94" s="116"/>
      <c r="F94" s="116"/>
      <c r="G94" s="116"/>
      <c r="H94" s="116"/>
      <c r="I94" s="116"/>
      <c r="J94" s="116"/>
      <c r="K94" s="116"/>
      <c r="L94" s="116"/>
      <c r="M94" s="116"/>
      <c r="N94" s="116"/>
      <c r="O94" s="116"/>
      <c r="P94" s="116"/>
      <c r="Q94" s="116"/>
      <c r="R94" s="116"/>
      <c r="S94" s="117"/>
      <c r="T94" s="148">
        <f>SUM(T47:T93)</f>
        <v>15559.499999999982</v>
      </c>
      <c r="U94" s="148">
        <f>SUM(U47:U93)</f>
        <v>15559.499999999982</v>
      </c>
      <c r="V94" s="148">
        <f>SUM(V47:V93)</f>
        <v>18119.499999999982</v>
      </c>
      <c r="W94" s="117"/>
      <c r="X94" s="116">
        <f t="shared" ref="X94:AM94" si="63">SUM(X47:X93)</f>
        <v>11734.874999999998</v>
      </c>
      <c r="Y94" s="116">
        <f t="shared" si="63"/>
        <v>1492727.5687499989</v>
      </c>
      <c r="Z94" s="116">
        <f t="shared" si="63"/>
        <v>596856.33000000019</v>
      </c>
      <c r="AA94" s="116">
        <f t="shared" si="63"/>
        <v>30000</v>
      </c>
      <c r="AB94" s="116">
        <f t="shared" si="63"/>
        <v>20000</v>
      </c>
      <c r="AC94" s="116">
        <f t="shared" si="63"/>
        <v>375</v>
      </c>
      <c r="AD94" s="116">
        <f t="shared" si="63"/>
        <v>2151693.7737499983</v>
      </c>
      <c r="AE94" s="148">
        <f t="shared" si="63"/>
        <v>1307.7385959464159</v>
      </c>
      <c r="AF94" s="148">
        <f t="shared" si="63"/>
        <v>60.10928961748634</v>
      </c>
      <c r="AG94" s="148">
        <f t="shared" si="63"/>
        <v>12.143290831815413</v>
      </c>
      <c r="AH94" s="148">
        <f t="shared" si="63"/>
        <v>22.64937499999996</v>
      </c>
      <c r="AI94" s="148">
        <f t="shared" si="63"/>
        <v>110.01517911353979</v>
      </c>
      <c r="AJ94" s="148">
        <f t="shared" si="63"/>
        <v>2500</v>
      </c>
      <c r="AK94" s="148">
        <f t="shared" si="63"/>
        <v>60</v>
      </c>
      <c r="AL94" s="144">
        <f t="shared" si="63"/>
        <v>0</v>
      </c>
      <c r="AM94" s="148">
        <f t="shared" si="63"/>
        <v>602.21979356405586</v>
      </c>
      <c r="AN94" s="144">
        <f t="shared" ref="AN94:AO94" si="64">SUM(AN47:AN93)</f>
        <v>0</v>
      </c>
      <c r="AO94" s="144">
        <f t="shared" si="64"/>
        <v>0</v>
      </c>
      <c r="AP94" s="126">
        <f>SUM(AP47:AP93)</f>
        <v>3367.1369281268967</v>
      </c>
      <c r="AQ94" s="126">
        <f>SUM(AQ47:AQ93)</f>
        <v>200</v>
      </c>
      <c r="AR94" s="126">
        <f>SUM(AR47:AR93)</f>
        <v>4874.875524073309</v>
      </c>
      <c r="AS94" s="116"/>
    </row>
    <row r="95" spans="1:74" s="125" customFormat="1" ht="24.75" customHeight="1" x14ac:dyDescent="0.35">
      <c r="A95" s="105" t="s">
        <v>313</v>
      </c>
      <c r="B95" s="129" t="s">
        <v>151</v>
      </c>
      <c r="C95" s="129" t="s">
        <v>312</v>
      </c>
      <c r="D95" s="140" t="s">
        <v>318</v>
      </c>
      <c r="E95" s="105" t="s">
        <v>155</v>
      </c>
      <c r="F95" s="140" t="s">
        <v>319</v>
      </c>
      <c r="G95" s="122">
        <v>20120001</v>
      </c>
      <c r="H95" s="130" t="s">
        <v>185</v>
      </c>
      <c r="I95" s="140" t="s">
        <v>321</v>
      </c>
      <c r="J95" s="83" t="s">
        <v>174</v>
      </c>
      <c r="K95" s="122" t="s">
        <v>166</v>
      </c>
      <c r="L95" s="122">
        <v>1</v>
      </c>
      <c r="M95" s="122" t="s">
        <v>167</v>
      </c>
      <c r="N95" s="122" t="s">
        <v>326</v>
      </c>
      <c r="O95" s="122">
        <v>2</v>
      </c>
      <c r="P95" s="122" t="s">
        <v>111</v>
      </c>
      <c r="Q95" s="109">
        <v>44431</v>
      </c>
      <c r="R95" s="152">
        <v>100180065201</v>
      </c>
      <c r="S95" s="109">
        <v>44358</v>
      </c>
      <c r="T95" s="153">
        <v>17926</v>
      </c>
      <c r="U95" s="153">
        <v>17926</v>
      </c>
      <c r="V95" s="142">
        <v>18981.91</v>
      </c>
      <c r="W95" s="110">
        <v>1641.2</v>
      </c>
      <c r="X95" s="122">
        <v>0</v>
      </c>
      <c r="Y95" s="83">
        <f t="shared" si="62"/>
        <v>1557655.5346000001</v>
      </c>
      <c r="Z95" s="111">
        <f t="shared" si="57"/>
        <v>623062.21383999998</v>
      </c>
      <c r="AA95" s="122">
        <f>30000/5</f>
        <v>6000</v>
      </c>
      <c r="AB95" s="122">
        <f>40000/5</f>
        <v>8000</v>
      </c>
      <c r="AC95" s="127" t="s">
        <v>112</v>
      </c>
      <c r="AD95" s="111">
        <f t="shared" si="58"/>
        <v>2194717.7484400002</v>
      </c>
      <c r="AE95" s="112">
        <f t="shared" si="53"/>
        <v>1338.6013076946381</v>
      </c>
      <c r="AF95" s="124">
        <f>(69000/W95)/5</f>
        <v>8.4084815988301251</v>
      </c>
      <c r="AG95" s="124">
        <f>(20000/5)/W95</f>
        <v>2.4372410431391662</v>
      </c>
      <c r="AH95" s="113">
        <f t="shared" si="54"/>
        <v>23.727387499999999</v>
      </c>
      <c r="AI95" s="112">
        <f t="shared" ref="AI95:AI146" si="65">(V95*10)/W95</f>
        <v>115.65872532293444</v>
      </c>
      <c r="AJ95" s="122">
        <f>5502/5</f>
        <v>1100.4000000000001</v>
      </c>
      <c r="AK95" s="159">
        <f>(U95*110%*0.19%)+(10/5)</f>
        <v>39.465340000000005</v>
      </c>
      <c r="AL95" s="127" t="s">
        <v>112</v>
      </c>
      <c r="AM95" s="122">
        <f>(1874987/W95)/5</f>
        <v>228.4897635876188</v>
      </c>
      <c r="AN95" s="127" t="s">
        <v>112</v>
      </c>
      <c r="AO95" s="127" t="s">
        <v>112</v>
      </c>
      <c r="AP95" s="114">
        <f t="shared" ref="AP95:AP101" si="66">SUM(AF95:AO95)</f>
        <v>1518.5869390525227</v>
      </c>
      <c r="AQ95" s="122">
        <f>400/5</f>
        <v>80</v>
      </c>
      <c r="AR95" s="114">
        <f t="shared" ref="AR95:AR99" si="67">AE95+AP95+AQ95</f>
        <v>2937.1882467471605</v>
      </c>
      <c r="AS95" s="122"/>
      <c r="AT95" s="59"/>
      <c r="AU95" s="59"/>
      <c r="AV95" s="59"/>
      <c r="AW95" s="59"/>
      <c r="AX95" s="59"/>
      <c r="AY95" s="59"/>
      <c r="AZ95" s="59"/>
      <c r="BA95" s="59"/>
      <c r="BB95" s="59"/>
      <c r="BC95" s="59"/>
      <c r="BD95" s="59"/>
      <c r="BE95" s="59"/>
      <c r="BF95" s="59"/>
      <c r="BG95" s="59"/>
      <c r="BH95" s="59"/>
      <c r="BI95" s="59"/>
      <c r="BJ95" s="59"/>
      <c r="BK95" s="59"/>
      <c r="BL95" s="59"/>
      <c r="BM95" s="59"/>
      <c r="BN95" s="59"/>
      <c r="BO95" s="59"/>
      <c r="BP95" s="59"/>
      <c r="BQ95" s="59"/>
      <c r="BR95" s="59"/>
      <c r="BS95" s="59"/>
      <c r="BT95" s="59"/>
      <c r="BU95" s="59"/>
      <c r="BV95" s="59"/>
    </row>
    <row r="96" spans="1:74" s="125" customFormat="1" ht="24.75" customHeight="1" x14ac:dyDescent="0.35">
      <c r="A96" s="105" t="s">
        <v>314</v>
      </c>
      <c r="B96" s="129" t="s">
        <v>151</v>
      </c>
      <c r="C96" s="129" t="s">
        <v>312</v>
      </c>
      <c r="D96" s="140" t="s">
        <v>318</v>
      </c>
      <c r="E96" s="105" t="s">
        <v>155</v>
      </c>
      <c r="F96" s="140" t="s">
        <v>319</v>
      </c>
      <c r="G96" s="122">
        <v>20120001</v>
      </c>
      <c r="H96" s="130" t="s">
        <v>185</v>
      </c>
      <c r="I96" s="140" t="s">
        <v>322</v>
      </c>
      <c r="J96" s="83" t="s">
        <v>174</v>
      </c>
      <c r="K96" s="122" t="s">
        <v>166</v>
      </c>
      <c r="L96" s="122">
        <v>1</v>
      </c>
      <c r="M96" s="122" t="s">
        <v>167</v>
      </c>
      <c r="N96" s="122"/>
      <c r="O96" s="122"/>
      <c r="P96" s="122"/>
      <c r="Q96" s="122"/>
      <c r="R96" s="122"/>
      <c r="S96" s="110"/>
      <c r="T96" s="153">
        <v>17926</v>
      </c>
      <c r="U96" s="153">
        <v>17926</v>
      </c>
      <c r="V96" s="142">
        <v>18981.91</v>
      </c>
      <c r="W96" s="110">
        <v>1641.2</v>
      </c>
      <c r="X96" s="122">
        <v>0</v>
      </c>
      <c r="Y96" s="83">
        <f t="shared" si="62"/>
        <v>1557655.5346000001</v>
      </c>
      <c r="Z96" s="111">
        <f t="shared" si="57"/>
        <v>623062.21383999998</v>
      </c>
      <c r="AA96" s="122">
        <f t="shared" ref="AA96:AA99" si="68">30000/5</f>
        <v>6000</v>
      </c>
      <c r="AB96" s="122">
        <f t="shared" ref="AB96:AB99" si="69">40000/5</f>
        <v>8000</v>
      </c>
      <c r="AC96" s="127" t="s">
        <v>112</v>
      </c>
      <c r="AD96" s="111">
        <f t="shared" si="58"/>
        <v>2194717.7484400002</v>
      </c>
      <c r="AE96" s="112">
        <f t="shared" si="53"/>
        <v>1338.6013076946381</v>
      </c>
      <c r="AF96" s="124">
        <f>(69000/W96)/5</f>
        <v>8.4084815988301251</v>
      </c>
      <c r="AG96" s="124">
        <f t="shared" ref="AG96:AG99" si="70">(20000/5)/W96</f>
        <v>2.4372410431391662</v>
      </c>
      <c r="AH96" s="113">
        <f t="shared" si="54"/>
        <v>23.727387499999999</v>
      </c>
      <c r="AI96" s="112">
        <f t="shared" si="65"/>
        <v>115.65872532293444</v>
      </c>
      <c r="AJ96" s="122">
        <f t="shared" ref="AJ96:AJ99" si="71">5502/5</f>
        <v>1100.4000000000001</v>
      </c>
      <c r="AK96" s="159">
        <f>(U96*110%*0.19%)+(10/5)</f>
        <v>39.465340000000005</v>
      </c>
      <c r="AL96" s="127" t="s">
        <v>112</v>
      </c>
      <c r="AM96" s="122">
        <f t="shared" ref="AM96:AM99" si="72">(1874987/W96)/5</f>
        <v>228.4897635876188</v>
      </c>
      <c r="AN96" s="127" t="s">
        <v>112</v>
      </c>
      <c r="AO96" s="127" t="s">
        <v>112</v>
      </c>
      <c r="AP96" s="114">
        <f t="shared" si="66"/>
        <v>1518.5869390525227</v>
      </c>
      <c r="AQ96" s="122">
        <f t="shared" ref="AQ96:AQ99" si="73">400/5</f>
        <v>80</v>
      </c>
      <c r="AR96" s="114">
        <f t="shared" si="67"/>
        <v>2937.1882467471605</v>
      </c>
      <c r="AS96" s="122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  <c r="BE96" s="59"/>
      <c r="BF96" s="59"/>
      <c r="BG96" s="59"/>
      <c r="BH96" s="59"/>
      <c r="BI96" s="59"/>
      <c r="BJ96" s="59"/>
      <c r="BK96" s="59"/>
      <c r="BL96" s="59"/>
      <c r="BM96" s="59"/>
      <c r="BN96" s="59"/>
      <c r="BO96" s="59"/>
      <c r="BP96" s="59"/>
      <c r="BQ96" s="59"/>
      <c r="BR96" s="59"/>
      <c r="BS96" s="59"/>
      <c r="BT96" s="59"/>
      <c r="BU96" s="59"/>
      <c r="BV96" s="59"/>
    </row>
    <row r="97" spans="1:74" s="125" customFormat="1" ht="24.75" customHeight="1" x14ac:dyDescent="0.35">
      <c r="A97" s="105" t="s">
        <v>315</v>
      </c>
      <c r="B97" s="129" t="s">
        <v>151</v>
      </c>
      <c r="C97" s="129" t="s">
        <v>312</v>
      </c>
      <c r="D97" s="140" t="s">
        <v>318</v>
      </c>
      <c r="E97" s="105" t="s">
        <v>155</v>
      </c>
      <c r="F97" s="140" t="s">
        <v>319</v>
      </c>
      <c r="G97" s="122">
        <v>20120001</v>
      </c>
      <c r="H97" s="130" t="s">
        <v>185</v>
      </c>
      <c r="I97" s="140" t="s">
        <v>323</v>
      </c>
      <c r="J97" s="83" t="s">
        <v>174</v>
      </c>
      <c r="K97" s="122" t="s">
        <v>166</v>
      </c>
      <c r="L97" s="122">
        <v>1</v>
      </c>
      <c r="M97" s="122" t="s">
        <v>167</v>
      </c>
      <c r="N97" s="122"/>
      <c r="O97" s="122"/>
      <c r="P97" s="122"/>
      <c r="Q97" s="122"/>
      <c r="R97" s="122"/>
      <c r="S97" s="110"/>
      <c r="T97" s="153">
        <v>17926</v>
      </c>
      <c r="U97" s="153">
        <v>17926</v>
      </c>
      <c r="V97" s="142">
        <v>18981.91</v>
      </c>
      <c r="W97" s="110">
        <v>1641.2</v>
      </c>
      <c r="X97" s="122">
        <v>0</v>
      </c>
      <c r="Y97" s="83">
        <f t="shared" si="62"/>
        <v>1557655.5346000001</v>
      </c>
      <c r="Z97" s="111">
        <f t="shared" si="57"/>
        <v>623062.21383999998</v>
      </c>
      <c r="AA97" s="122">
        <f t="shared" si="68"/>
        <v>6000</v>
      </c>
      <c r="AB97" s="122">
        <f t="shared" si="69"/>
        <v>8000</v>
      </c>
      <c r="AC97" s="127" t="s">
        <v>112</v>
      </c>
      <c r="AD97" s="111">
        <f t="shared" si="58"/>
        <v>2194717.7484400002</v>
      </c>
      <c r="AE97" s="112">
        <f t="shared" si="53"/>
        <v>1338.6013076946381</v>
      </c>
      <c r="AF97" s="124">
        <f t="shared" ref="AF97:AF99" si="74">(69000/W97)/5</f>
        <v>8.4084815988301251</v>
      </c>
      <c r="AG97" s="124">
        <f t="shared" si="70"/>
        <v>2.4372410431391662</v>
      </c>
      <c r="AH97" s="113">
        <f t="shared" si="54"/>
        <v>23.727387499999999</v>
      </c>
      <c r="AI97" s="112">
        <f t="shared" si="65"/>
        <v>115.65872532293444</v>
      </c>
      <c r="AJ97" s="122">
        <f t="shared" si="71"/>
        <v>1100.4000000000001</v>
      </c>
      <c r="AK97" s="159">
        <f>(U97*110%*0.19%)+(10/5)</f>
        <v>39.465340000000005</v>
      </c>
      <c r="AL97" s="127" t="s">
        <v>112</v>
      </c>
      <c r="AM97" s="122">
        <f t="shared" si="72"/>
        <v>228.4897635876188</v>
      </c>
      <c r="AN97" s="127" t="s">
        <v>112</v>
      </c>
      <c r="AO97" s="127" t="s">
        <v>112</v>
      </c>
      <c r="AP97" s="114">
        <f t="shared" si="66"/>
        <v>1518.5869390525227</v>
      </c>
      <c r="AQ97" s="122">
        <f t="shared" si="73"/>
        <v>80</v>
      </c>
      <c r="AR97" s="114">
        <f t="shared" si="67"/>
        <v>2937.1882467471605</v>
      </c>
      <c r="AS97" s="122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  <c r="BE97" s="59"/>
      <c r="BF97" s="59"/>
      <c r="BG97" s="59"/>
      <c r="BH97" s="59"/>
      <c r="BI97" s="59"/>
      <c r="BJ97" s="59"/>
      <c r="BK97" s="59"/>
      <c r="BL97" s="59"/>
      <c r="BM97" s="59"/>
      <c r="BN97" s="59"/>
      <c r="BO97" s="59"/>
      <c r="BP97" s="59"/>
      <c r="BQ97" s="59"/>
      <c r="BR97" s="59"/>
      <c r="BS97" s="59"/>
      <c r="BT97" s="59"/>
      <c r="BU97" s="59"/>
      <c r="BV97" s="59"/>
    </row>
    <row r="98" spans="1:74" s="125" customFormat="1" ht="24.75" customHeight="1" x14ac:dyDescent="0.35">
      <c r="A98" s="105" t="s">
        <v>316</v>
      </c>
      <c r="B98" s="129" t="s">
        <v>151</v>
      </c>
      <c r="C98" s="129" t="s">
        <v>312</v>
      </c>
      <c r="D98" s="140" t="s">
        <v>318</v>
      </c>
      <c r="E98" s="105" t="s">
        <v>155</v>
      </c>
      <c r="F98" s="140" t="s">
        <v>319</v>
      </c>
      <c r="G98" s="122">
        <v>20120001</v>
      </c>
      <c r="H98" s="130" t="s">
        <v>185</v>
      </c>
      <c r="I98" s="140" t="s">
        <v>324</v>
      </c>
      <c r="J98" s="83" t="s">
        <v>174</v>
      </c>
      <c r="K98" s="122" t="s">
        <v>166</v>
      </c>
      <c r="L98" s="122">
        <v>1</v>
      </c>
      <c r="M98" s="122" t="s">
        <v>167</v>
      </c>
      <c r="N98" s="122"/>
      <c r="O98" s="122"/>
      <c r="P98" s="122"/>
      <c r="Q98" s="122"/>
      <c r="R98" s="122"/>
      <c r="S98" s="110"/>
      <c r="T98" s="153">
        <v>17926</v>
      </c>
      <c r="U98" s="153">
        <v>17926</v>
      </c>
      <c r="V98" s="142">
        <v>18981.91</v>
      </c>
      <c r="W98" s="110">
        <v>1641.2</v>
      </c>
      <c r="X98" s="122">
        <v>0</v>
      </c>
      <c r="Y98" s="83">
        <f>(X98+(V98*W98))*5%</f>
        <v>1557655.5346000001</v>
      </c>
      <c r="Z98" s="111">
        <f t="shared" si="57"/>
        <v>623062.21383999998</v>
      </c>
      <c r="AA98" s="122">
        <f t="shared" si="68"/>
        <v>6000</v>
      </c>
      <c r="AB98" s="122">
        <f t="shared" si="69"/>
        <v>8000</v>
      </c>
      <c r="AC98" s="127" t="s">
        <v>112</v>
      </c>
      <c r="AD98" s="111">
        <f t="shared" si="58"/>
        <v>2194717.7484400002</v>
      </c>
      <c r="AE98" s="112">
        <f t="shared" si="53"/>
        <v>1338.6013076946381</v>
      </c>
      <c r="AF98" s="124">
        <f t="shared" si="74"/>
        <v>8.4084815988301251</v>
      </c>
      <c r="AG98" s="124">
        <f t="shared" si="70"/>
        <v>2.4372410431391662</v>
      </c>
      <c r="AH98" s="113">
        <f t="shared" si="54"/>
        <v>23.727387499999999</v>
      </c>
      <c r="AI98" s="112">
        <f t="shared" si="65"/>
        <v>115.65872532293444</v>
      </c>
      <c r="AJ98" s="122">
        <f t="shared" si="71"/>
        <v>1100.4000000000001</v>
      </c>
      <c r="AK98" s="159">
        <f>(U98*110%*0.19%)+(10/5)</f>
        <v>39.465340000000005</v>
      </c>
      <c r="AL98" s="127" t="s">
        <v>112</v>
      </c>
      <c r="AM98" s="122">
        <f t="shared" si="72"/>
        <v>228.4897635876188</v>
      </c>
      <c r="AN98" s="127" t="s">
        <v>112</v>
      </c>
      <c r="AO98" s="127" t="s">
        <v>112</v>
      </c>
      <c r="AP98" s="114">
        <f t="shared" si="66"/>
        <v>1518.5869390525227</v>
      </c>
      <c r="AQ98" s="122">
        <f t="shared" si="73"/>
        <v>80</v>
      </c>
      <c r="AR98" s="114">
        <f t="shared" si="67"/>
        <v>2937.1882467471605</v>
      </c>
      <c r="AS98" s="122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  <c r="BE98" s="59"/>
      <c r="BF98" s="59"/>
      <c r="BG98" s="59"/>
      <c r="BH98" s="59"/>
      <c r="BI98" s="59"/>
      <c r="BJ98" s="59"/>
      <c r="BK98" s="59"/>
      <c r="BL98" s="59"/>
      <c r="BM98" s="59"/>
      <c r="BN98" s="59"/>
      <c r="BO98" s="59"/>
      <c r="BP98" s="59"/>
      <c r="BQ98" s="59"/>
      <c r="BR98" s="59"/>
      <c r="BS98" s="59"/>
      <c r="BT98" s="59"/>
      <c r="BU98" s="59"/>
      <c r="BV98" s="59"/>
    </row>
    <row r="99" spans="1:74" s="125" customFormat="1" ht="24.75" customHeight="1" x14ac:dyDescent="0.35">
      <c r="A99" s="105" t="s">
        <v>317</v>
      </c>
      <c r="B99" s="129" t="s">
        <v>151</v>
      </c>
      <c r="C99" s="129" t="s">
        <v>312</v>
      </c>
      <c r="D99" s="140" t="s">
        <v>170</v>
      </c>
      <c r="E99" s="105" t="s">
        <v>155</v>
      </c>
      <c r="F99" s="140" t="s">
        <v>320</v>
      </c>
      <c r="G99" s="122">
        <v>21010001</v>
      </c>
      <c r="H99" s="130" t="s">
        <v>185</v>
      </c>
      <c r="I99" s="140" t="s">
        <v>325</v>
      </c>
      <c r="J99" s="83" t="s">
        <v>174</v>
      </c>
      <c r="K99" s="122" t="s">
        <v>166</v>
      </c>
      <c r="L99" s="122">
        <v>1</v>
      </c>
      <c r="M99" s="122" t="s">
        <v>167</v>
      </c>
      <c r="N99" s="122"/>
      <c r="O99" s="122"/>
      <c r="P99" s="122"/>
      <c r="Q99" s="122"/>
      <c r="R99" s="122"/>
      <c r="S99" s="110"/>
      <c r="T99" s="153">
        <v>22111</v>
      </c>
      <c r="U99" s="153">
        <v>22111</v>
      </c>
      <c r="V99" s="142">
        <v>23413.42</v>
      </c>
      <c r="W99" s="110">
        <v>1641.2</v>
      </c>
      <c r="X99" s="122">
        <v>0</v>
      </c>
      <c r="Y99" s="83">
        <f t="shared" si="62"/>
        <v>1921305.2452</v>
      </c>
      <c r="Z99" s="111">
        <f t="shared" si="57"/>
        <v>768522.09808000003</v>
      </c>
      <c r="AA99" s="122">
        <f t="shared" si="68"/>
        <v>6000</v>
      </c>
      <c r="AB99" s="122">
        <f t="shared" si="69"/>
        <v>8000</v>
      </c>
      <c r="AC99" s="127" t="s">
        <v>112</v>
      </c>
      <c r="AD99" s="111">
        <f t="shared" si="58"/>
        <v>2703827.3432800001</v>
      </c>
      <c r="AE99" s="112">
        <f t="shared" si="53"/>
        <v>1649.1172133946382</v>
      </c>
      <c r="AF99" s="124">
        <f t="shared" si="74"/>
        <v>8.4084815988301251</v>
      </c>
      <c r="AG99" s="124">
        <f t="shared" si="70"/>
        <v>2.4372410431391662</v>
      </c>
      <c r="AH99" s="113">
        <f t="shared" si="54"/>
        <v>29.266774999999999</v>
      </c>
      <c r="AI99" s="112">
        <f t="shared" si="65"/>
        <v>142.66037046063855</v>
      </c>
      <c r="AJ99" s="122">
        <f t="shared" si="71"/>
        <v>1100.4000000000001</v>
      </c>
      <c r="AK99" s="159">
        <f>(U99*110%*0.19%)+(10/5)</f>
        <v>48.211990000000007</v>
      </c>
      <c r="AL99" s="127" t="s">
        <v>112</v>
      </c>
      <c r="AM99" s="122">
        <f t="shared" si="72"/>
        <v>228.4897635876188</v>
      </c>
      <c r="AN99" s="127" t="s">
        <v>112</v>
      </c>
      <c r="AO99" s="127" t="s">
        <v>112</v>
      </c>
      <c r="AP99" s="114">
        <f t="shared" si="66"/>
        <v>1559.8746216902268</v>
      </c>
      <c r="AQ99" s="122">
        <f t="shared" si="73"/>
        <v>80</v>
      </c>
      <c r="AR99" s="114">
        <f t="shared" si="67"/>
        <v>3288.9918350848648</v>
      </c>
      <c r="AS99" s="122"/>
      <c r="AT99" s="59"/>
      <c r="AU99" s="59"/>
      <c r="AV99" s="59"/>
      <c r="AW99" s="59"/>
      <c r="AX99" s="59"/>
      <c r="AY99" s="59"/>
      <c r="AZ99" s="59"/>
      <c r="BA99" s="59"/>
      <c r="BB99" s="59"/>
      <c r="BC99" s="59"/>
      <c r="BD99" s="59"/>
      <c r="BE99" s="59"/>
      <c r="BF99" s="59"/>
      <c r="BG99" s="59"/>
      <c r="BH99" s="59"/>
      <c r="BI99" s="59"/>
      <c r="BJ99" s="59"/>
      <c r="BK99" s="59"/>
      <c r="BL99" s="59"/>
      <c r="BM99" s="59"/>
      <c r="BN99" s="59"/>
      <c r="BO99" s="59"/>
      <c r="BP99" s="59"/>
      <c r="BQ99" s="59"/>
      <c r="BR99" s="59"/>
      <c r="BS99" s="59"/>
      <c r="BT99" s="59"/>
      <c r="BU99" s="59"/>
      <c r="BV99" s="59"/>
    </row>
    <row r="100" spans="1:74" ht="24.75" customHeight="1" x14ac:dyDescent="0.35">
      <c r="A100" s="116"/>
      <c r="B100" s="116"/>
      <c r="C100" s="116"/>
      <c r="D100" s="116"/>
      <c r="E100" s="116"/>
      <c r="F100" s="116"/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  <c r="Q100" s="116"/>
      <c r="R100" s="116"/>
      <c r="S100" s="117"/>
      <c r="T100" s="147">
        <f>SUM(T95:T99)</f>
        <v>93815</v>
      </c>
      <c r="U100" s="147">
        <f>SUM(U95:U99)</f>
        <v>93815</v>
      </c>
      <c r="V100" s="147">
        <f>SUM(V95:V99)</f>
        <v>99341.06</v>
      </c>
      <c r="W100" s="117"/>
      <c r="X100" s="151" t="s">
        <v>112</v>
      </c>
      <c r="Y100" s="119">
        <f>SUM(Y95:Y99)</f>
        <v>8151927.3836000003</v>
      </c>
      <c r="Z100" s="119">
        <f>SUM(Z95:Z99)</f>
        <v>3260770.9534399998</v>
      </c>
      <c r="AA100" s="149">
        <f>SUM(AA95:AA99)</f>
        <v>30000</v>
      </c>
      <c r="AB100" s="150">
        <f>SUM(AB95:AB99)</f>
        <v>40000</v>
      </c>
      <c r="AC100" s="116"/>
      <c r="AD100" s="150">
        <f t="shared" ref="AD100:AR100" si="75">SUM(AD95:AD99)</f>
        <v>11482698.337040002</v>
      </c>
      <c r="AE100" s="126">
        <f t="shared" si="75"/>
        <v>7003.5224441731907</v>
      </c>
      <c r="AF100" s="126">
        <f t="shared" si="75"/>
        <v>42.042407994150622</v>
      </c>
      <c r="AG100" s="126">
        <f t="shared" si="75"/>
        <v>12.186205215695832</v>
      </c>
      <c r="AH100" s="126">
        <f t="shared" si="75"/>
        <v>124.17632499999999</v>
      </c>
      <c r="AI100" s="126">
        <f t="shared" si="75"/>
        <v>605.29527175237627</v>
      </c>
      <c r="AJ100" s="126">
        <f t="shared" si="75"/>
        <v>5502</v>
      </c>
      <c r="AK100" s="126">
        <f t="shared" si="75"/>
        <v>206.07335000000003</v>
      </c>
      <c r="AL100" s="126">
        <f t="shared" si="75"/>
        <v>0</v>
      </c>
      <c r="AM100" s="126">
        <f>SUM(AM95:AM99)</f>
        <v>1142.448817938094</v>
      </c>
      <c r="AN100" s="126">
        <f t="shared" si="75"/>
        <v>0</v>
      </c>
      <c r="AO100" s="126">
        <f t="shared" si="75"/>
        <v>0</v>
      </c>
      <c r="AP100" s="126">
        <f t="shared" si="75"/>
        <v>7634.222377900318</v>
      </c>
      <c r="AQ100" s="126">
        <f t="shared" si="75"/>
        <v>400</v>
      </c>
      <c r="AR100" s="126">
        <f t="shared" si="75"/>
        <v>15037.744822073506</v>
      </c>
      <c r="AS100" s="116"/>
    </row>
    <row r="101" spans="1:74" s="125" customFormat="1" ht="23.25" customHeight="1" x14ac:dyDescent="0.35">
      <c r="A101" s="105" t="s">
        <v>328</v>
      </c>
      <c r="B101" s="129" t="s">
        <v>151</v>
      </c>
      <c r="C101" s="140" t="s">
        <v>327</v>
      </c>
      <c r="D101" s="140" t="s">
        <v>171</v>
      </c>
      <c r="E101" s="105" t="s">
        <v>155</v>
      </c>
      <c r="F101" s="140" t="s">
        <v>329</v>
      </c>
      <c r="G101" s="83">
        <v>21050001</v>
      </c>
      <c r="H101" s="130" t="s">
        <v>185</v>
      </c>
      <c r="I101" s="140" t="s">
        <v>330</v>
      </c>
      <c r="J101" s="83" t="s">
        <v>174</v>
      </c>
      <c r="K101" s="140" t="s">
        <v>166</v>
      </c>
      <c r="L101" s="122">
        <v>1</v>
      </c>
      <c r="M101" s="122" t="s">
        <v>167</v>
      </c>
      <c r="N101" s="122" t="s">
        <v>168</v>
      </c>
      <c r="O101" s="122">
        <v>1</v>
      </c>
      <c r="P101" s="122" t="s">
        <v>111</v>
      </c>
      <c r="Q101" s="109">
        <v>44483</v>
      </c>
      <c r="R101" s="152">
        <v>100185003660</v>
      </c>
      <c r="S101" s="109">
        <v>44476</v>
      </c>
      <c r="T101" s="154">
        <v>20344</v>
      </c>
      <c r="U101" s="154">
        <v>20344</v>
      </c>
      <c r="V101" s="154">
        <v>22574</v>
      </c>
      <c r="W101" s="110">
        <v>1752</v>
      </c>
      <c r="X101" s="122">
        <v>0</v>
      </c>
      <c r="Y101" s="83">
        <f t="shared" si="62"/>
        <v>1977482.4000000001</v>
      </c>
      <c r="Z101" s="111">
        <f t="shared" si="57"/>
        <v>790992.96000000008</v>
      </c>
      <c r="AA101" s="122">
        <f>30000/1</f>
        <v>30000</v>
      </c>
      <c r="AB101" s="122">
        <f>20000/1</f>
        <v>20000</v>
      </c>
      <c r="AC101" s="122">
        <v>0</v>
      </c>
      <c r="AD101" s="111">
        <f t="shared" si="58"/>
        <v>2818475.3600000003</v>
      </c>
      <c r="AE101" s="112">
        <f t="shared" si="53"/>
        <v>1610.3275315981737</v>
      </c>
      <c r="AF101" s="124">
        <f>(99000/W101)/1</f>
        <v>56.506849315068493</v>
      </c>
      <c r="AG101" s="124">
        <f>(20000/1)/W101</f>
        <v>11.415525114155251</v>
      </c>
      <c r="AH101" s="113">
        <f t="shared" si="54"/>
        <v>28.217500000000001</v>
      </c>
      <c r="AI101" s="112">
        <f t="shared" si="65"/>
        <v>128.84703196347033</v>
      </c>
      <c r="AJ101" s="122">
        <f>2170/1</f>
        <v>2170</v>
      </c>
      <c r="AK101" s="122">
        <f>60/1</f>
        <v>60</v>
      </c>
      <c r="AL101" s="127" t="s">
        <v>112</v>
      </c>
      <c r="AM101" s="122">
        <f>(752613/W101)/1</f>
        <v>429.57363013698631</v>
      </c>
      <c r="AN101" s="127" t="s">
        <v>112</v>
      </c>
      <c r="AO101" s="127" t="s">
        <v>112</v>
      </c>
      <c r="AP101" s="114">
        <f t="shared" si="66"/>
        <v>2884.5605365296801</v>
      </c>
      <c r="AQ101" s="122">
        <f>200/1</f>
        <v>200</v>
      </c>
      <c r="AR101" s="114">
        <f>AE101+AP101+AQ101</f>
        <v>4694.8880681278533</v>
      </c>
      <c r="AS101" s="122"/>
      <c r="AT101" s="59"/>
      <c r="AU101" s="59"/>
      <c r="AV101" s="59"/>
      <c r="AW101" s="59"/>
      <c r="AX101" s="59"/>
      <c r="AY101" s="59"/>
      <c r="AZ101" s="59"/>
      <c r="BA101" s="59"/>
      <c r="BB101" s="59"/>
      <c r="BC101" s="59"/>
      <c r="BD101" s="59"/>
      <c r="BE101" s="59"/>
      <c r="BF101" s="59"/>
      <c r="BG101" s="59"/>
      <c r="BH101" s="59"/>
      <c r="BI101" s="59"/>
      <c r="BJ101" s="59"/>
      <c r="BK101" s="59"/>
      <c r="BL101" s="59"/>
      <c r="BM101" s="59"/>
      <c r="BN101" s="59"/>
      <c r="BO101" s="59"/>
      <c r="BP101" s="59"/>
      <c r="BQ101" s="59"/>
      <c r="BR101" s="59"/>
      <c r="BS101" s="59"/>
      <c r="BT101" s="59"/>
      <c r="BU101" s="59"/>
      <c r="BV101" s="59"/>
    </row>
    <row r="102" spans="1:74" ht="20.25" customHeight="1" x14ac:dyDescent="0.35">
      <c r="A102" s="116"/>
      <c r="B102" s="116"/>
      <c r="C102" s="116"/>
      <c r="D102" s="116"/>
      <c r="E102" s="116"/>
      <c r="F102" s="116"/>
      <c r="G102" s="116"/>
      <c r="H102" s="116"/>
      <c r="I102" s="116"/>
      <c r="J102" s="116"/>
      <c r="K102" s="116"/>
      <c r="L102" s="116"/>
      <c r="M102" s="116"/>
      <c r="N102" s="116"/>
      <c r="O102" s="116"/>
      <c r="P102" s="116"/>
      <c r="Q102" s="116"/>
      <c r="R102" s="116"/>
      <c r="S102" s="117"/>
      <c r="T102" s="117"/>
      <c r="U102" s="117"/>
      <c r="V102" s="117"/>
      <c r="W102" s="117"/>
      <c r="X102" s="116"/>
      <c r="Y102" s="116"/>
      <c r="Z102" s="116"/>
      <c r="AA102" s="116"/>
      <c r="AB102" s="116"/>
      <c r="AC102" s="116"/>
      <c r="AD102" s="116"/>
      <c r="AE102" s="116"/>
      <c r="AF102" s="116"/>
      <c r="AG102" s="116"/>
      <c r="AH102" s="116"/>
      <c r="AI102" s="116"/>
      <c r="AJ102" s="116"/>
      <c r="AK102" s="116"/>
      <c r="AL102" s="116"/>
      <c r="AM102" s="116"/>
      <c r="AN102" s="116"/>
      <c r="AO102" s="116"/>
      <c r="AP102" s="116"/>
      <c r="AQ102" s="116"/>
      <c r="AR102" s="116"/>
      <c r="AS102" s="116"/>
    </row>
    <row r="103" spans="1:74" s="125" customFormat="1" ht="23.25" customHeight="1" x14ac:dyDescent="0.35">
      <c r="A103" s="105" t="s">
        <v>332</v>
      </c>
      <c r="B103" s="129" t="s">
        <v>151</v>
      </c>
      <c r="C103" s="140" t="s">
        <v>331</v>
      </c>
      <c r="D103" s="140" t="s">
        <v>336</v>
      </c>
      <c r="E103" s="105" t="s">
        <v>155</v>
      </c>
      <c r="F103" s="140" t="s">
        <v>337</v>
      </c>
      <c r="G103" s="122">
        <v>21060001</v>
      </c>
      <c r="H103" s="130" t="s">
        <v>185</v>
      </c>
      <c r="I103" s="145" t="s">
        <v>338</v>
      </c>
      <c r="J103" s="129" t="s">
        <v>222</v>
      </c>
      <c r="K103" s="140" t="s">
        <v>166</v>
      </c>
      <c r="L103" s="122">
        <v>1</v>
      </c>
      <c r="M103" s="122" t="s">
        <v>167</v>
      </c>
      <c r="N103" s="122" t="s">
        <v>182</v>
      </c>
      <c r="O103" s="122">
        <v>1</v>
      </c>
      <c r="P103" s="122" t="s">
        <v>111</v>
      </c>
      <c r="Q103" s="109">
        <v>44483</v>
      </c>
      <c r="R103" s="152">
        <v>100184623930</v>
      </c>
      <c r="S103" s="109">
        <v>44470</v>
      </c>
      <c r="T103" s="153">
        <v>8550</v>
      </c>
      <c r="U103" s="153">
        <v>8550</v>
      </c>
      <c r="V103" s="156">
        <f>U103+998.34</f>
        <v>9548.34</v>
      </c>
      <c r="W103" s="110">
        <v>1746.86</v>
      </c>
      <c r="X103" s="122">
        <v>0</v>
      </c>
      <c r="Y103" s="83">
        <f t="shared" si="62"/>
        <v>833980.66061999998</v>
      </c>
      <c r="Z103" s="111">
        <f t="shared" si="57"/>
        <v>333592.26424799999</v>
      </c>
      <c r="AA103" s="122">
        <f>30000/4</f>
        <v>7500</v>
      </c>
      <c r="AB103" s="122">
        <f>20000/4</f>
        <v>5000</v>
      </c>
      <c r="AC103" s="127" t="s">
        <v>112</v>
      </c>
      <c r="AD103" s="111">
        <f t="shared" si="58"/>
        <v>1180072.924868</v>
      </c>
      <c r="AE103" s="112">
        <f t="shared" si="53"/>
        <v>676.21503600338212</v>
      </c>
      <c r="AF103" s="124">
        <f>(119000/W103)/4</f>
        <v>17.030557686362961</v>
      </c>
      <c r="AG103" s="124">
        <f>(20000/4)/W103</f>
        <v>2.8622786027500773</v>
      </c>
      <c r="AH103" s="113">
        <f t="shared" si="54"/>
        <v>11.935425</v>
      </c>
      <c r="AI103" s="112">
        <f t="shared" si="65"/>
        <v>54.660018547565343</v>
      </c>
      <c r="AJ103" s="122">
        <f>3900/4</f>
        <v>975</v>
      </c>
      <c r="AK103" s="159">
        <f>(U103*110%*0.19%)+(10/4)</f>
        <v>20.369499999999999</v>
      </c>
      <c r="AL103" s="127" t="s">
        <v>112</v>
      </c>
      <c r="AM103" s="122">
        <f>(893897/W103)/4</f>
        <v>127.9291128081243</v>
      </c>
      <c r="AN103" s="127" t="s">
        <v>112</v>
      </c>
      <c r="AO103" s="127" t="s">
        <v>112</v>
      </c>
      <c r="AP103" s="114">
        <f t="shared" ref="AP103:AP146" si="76">SUM(AF103:AO103)</f>
        <v>1209.7868926448027</v>
      </c>
      <c r="AQ103" s="122">
        <f>250/4</f>
        <v>62.5</v>
      </c>
      <c r="AR103" s="114">
        <f t="shared" ref="AR103:AR146" si="77">AE103+AP103+AQ103</f>
        <v>1948.5019286481847</v>
      </c>
      <c r="AS103" s="122"/>
      <c r="AT103" s="59"/>
      <c r="AU103" s="59"/>
      <c r="AV103" s="59"/>
      <c r="AW103" s="59"/>
      <c r="AX103" s="59"/>
      <c r="AY103" s="59"/>
      <c r="AZ103" s="59"/>
      <c r="BA103" s="59"/>
      <c r="BB103" s="59"/>
      <c r="BC103" s="59"/>
      <c r="BD103" s="59"/>
      <c r="BE103" s="59"/>
      <c r="BF103" s="59"/>
      <c r="BG103" s="59"/>
      <c r="BH103" s="59"/>
      <c r="BI103" s="59"/>
      <c r="BJ103" s="59"/>
      <c r="BK103" s="59"/>
      <c r="BL103" s="59"/>
      <c r="BM103" s="59"/>
      <c r="BN103" s="59"/>
      <c r="BO103" s="59"/>
      <c r="BP103" s="59"/>
      <c r="BQ103" s="59"/>
      <c r="BR103" s="59"/>
      <c r="BS103" s="59"/>
      <c r="BT103" s="59"/>
      <c r="BU103" s="59"/>
      <c r="BV103" s="59"/>
    </row>
    <row r="104" spans="1:74" s="125" customFormat="1" ht="23.25" customHeight="1" x14ac:dyDescent="0.35">
      <c r="A104" s="105" t="s">
        <v>333</v>
      </c>
      <c r="B104" s="129" t="s">
        <v>151</v>
      </c>
      <c r="C104" s="140" t="s">
        <v>331</v>
      </c>
      <c r="D104" s="140" t="s">
        <v>295</v>
      </c>
      <c r="E104" s="105" t="s">
        <v>155</v>
      </c>
      <c r="F104" s="140" t="s">
        <v>337</v>
      </c>
      <c r="G104" s="122">
        <v>21060001</v>
      </c>
      <c r="H104" s="130" t="s">
        <v>185</v>
      </c>
      <c r="I104" s="145" t="s">
        <v>339</v>
      </c>
      <c r="J104" s="129" t="s">
        <v>222</v>
      </c>
      <c r="K104" s="140" t="s">
        <v>166</v>
      </c>
      <c r="L104" s="122">
        <v>1</v>
      </c>
      <c r="M104" s="122" t="s">
        <v>167</v>
      </c>
      <c r="N104" s="122"/>
      <c r="O104" s="122"/>
      <c r="P104" s="122"/>
      <c r="Q104" s="122"/>
      <c r="R104" s="122"/>
      <c r="S104" s="110"/>
      <c r="T104" s="153">
        <v>9050</v>
      </c>
      <c r="U104" s="153">
        <v>9050</v>
      </c>
      <c r="V104" s="156">
        <f>U104+998.34</f>
        <v>10048.34</v>
      </c>
      <c r="W104" s="110">
        <v>1746.86</v>
      </c>
      <c r="X104" s="122">
        <v>0</v>
      </c>
      <c r="Y104" s="83">
        <f t="shared" si="62"/>
        <v>877652.1606200001</v>
      </c>
      <c r="Z104" s="111">
        <f t="shared" si="57"/>
        <v>351060.86424799997</v>
      </c>
      <c r="AA104" s="122">
        <f t="shared" ref="AA104:AA106" si="78">30000/4</f>
        <v>7500</v>
      </c>
      <c r="AB104" s="122">
        <f t="shared" ref="AB104:AB106" si="79">20000/4</f>
        <v>5000</v>
      </c>
      <c r="AC104" s="127" t="s">
        <v>112</v>
      </c>
      <c r="AD104" s="111">
        <f t="shared" si="58"/>
        <v>1241213.0248680001</v>
      </c>
      <c r="AE104" s="112">
        <f t="shared" si="53"/>
        <v>711.25003600338209</v>
      </c>
      <c r="AF104" s="124">
        <f t="shared" ref="AF104:AF105" si="80">(119000/W104)/4</f>
        <v>17.030557686362961</v>
      </c>
      <c r="AG104" s="124">
        <f t="shared" ref="AG104:AG106" si="81">(20000/4)/W104</f>
        <v>2.8622786027500773</v>
      </c>
      <c r="AH104" s="113">
        <f t="shared" si="54"/>
        <v>12.560425</v>
      </c>
      <c r="AI104" s="112">
        <f t="shared" si="65"/>
        <v>57.522297150315424</v>
      </c>
      <c r="AJ104" s="122">
        <f t="shared" ref="AJ104:AJ106" si="82">3900/4</f>
        <v>975</v>
      </c>
      <c r="AK104" s="159">
        <f t="shared" ref="AK104:AK106" si="83">(U104*110%*0.19%)+(10/4)</f>
        <v>21.4145</v>
      </c>
      <c r="AL104" s="127" t="s">
        <v>112</v>
      </c>
      <c r="AM104" s="122">
        <f t="shared" ref="AM104:AM106" si="84">(893897/W104)/4</f>
        <v>127.9291128081243</v>
      </c>
      <c r="AN104" s="127" t="s">
        <v>112</v>
      </c>
      <c r="AO104" s="127" t="s">
        <v>112</v>
      </c>
      <c r="AP104" s="114">
        <f t="shared" si="76"/>
        <v>1214.3191712475527</v>
      </c>
      <c r="AQ104" s="122">
        <f t="shared" ref="AQ104:AQ106" si="85">250/4</f>
        <v>62.5</v>
      </c>
      <c r="AR104" s="114">
        <f t="shared" si="77"/>
        <v>1988.0692072509348</v>
      </c>
      <c r="AS104" s="122"/>
      <c r="AT104" s="59"/>
      <c r="AU104" s="59"/>
      <c r="AV104" s="59"/>
      <c r="AW104" s="59"/>
      <c r="AX104" s="59"/>
      <c r="AY104" s="59"/>
      <c r="AZ104" s="59"/>
      <c r="BA104" s="59"/>
      <c r="BB104" s="59"/>
      <c r="BC104" s="59"/>
      <c r="BD104" s="59"/>
      <c r="BE104" s="59"/>
      <c r="BF104" s="59"/>
      <c r="BG104" s="59"/>
      <c r="BH104" s="59"/>
      <c r="BI104" s="59"/>
      <c r="BJ104" s="59"/>
      <c r="BK104" s="59"/>
      <c r="BL104" s="59"/>
      <c r="BM104" s="59"/>
      <c r="BN104" s="59"/>
      <c r="BO104" s="59"/>
      <c r="BP104" s="59"/>
      <c r="BQ104" s="59"/>
      <c r="BR104" s="59"/>
      <c r="BS104" s="59"/>
      <c r="BT104" s="59"/>
      <c r="BU104" s="59"/>
      <c r="BV104" s="59"/>
    </row>
    <row r="105" spans="1:74" s="125" customFormat="1" ht="23.25" customHeight="1" x14ac:dyDescent="0.35">
      <c r="A105" s="105" t="s">
        <v>334</v>
      </c>
      <c r="B105" s="129" t="s">
        <v>151</v>
      </c>
      <c r="C105" s="140" t="s">
        <v>331</v>
      </c>
      <c r="D105" s="140" t="s">
        <v>295</v>
      </c>
      <c r="E105" s="105" t="s">
        <v>155</v>
      </c>
      <c r="F105" s="140" t="s">
        <v>337</v>
      </c>
      <c r="G105" s="122">
        <v>21060001</v>
      </c>
      <c r="H105" s="130" t="s">
        <v>185</v>
      </c>
      <c r="I105" s="145" t="s">
        <v>340</v>
      </c>
      <c r="J105" s="129" t="s">
        <v>222</v>
      </c>
      <c r="K105" s="140" t="s">
        <v>166</v>
      </c>
      <c r="L105" s="122">
        <v>1</v>
      </c>
      <c r="M105" s="122" t="s">
        <v>167</v>
      </c>
      <c r="N105" s="122"/>
      <c r="O105" s="122"/>
      <c r="P105" s="122"/>
      <c r="Q105" s="122"/>
      <c r="R105" s="122"/>
      <c r="S105" s="110"/>
      <c r="T105" s="153">
        <v>11150</v>
      </c>
      <c r="U105" s="153">
        <v>11150</v>
      </c>
      <c r="V105" s="156">
        <f t="shared" ref="V105" si="86">U105+998.34</f>
        <v>12148.34</v>
      </c>
      <c r="W105" s="110">
        <v>1746.86</v>
      </c>
      <c r="X105" s="122">
        <v>0</v>
      </c>
      <c r="Y105" s="83">
        <f t="shared" si="62"/>
        <v>1061072.46062</v>
      </c>
      <c r="Z105" s="111">
        <f t="shared" si="57"/>
        <v>424428.98424799996</v>
      </c>
      <c r="AA105" s="122">
        <f t="shared" si="78"/>
        <v>7500</v>
      </c>
      <c r="AB105" s="122">
        <f t="shared" si="79"/>
        <v>5000</v>
      </c>
      <c r="AC105" s="127" t="s">
        <v>112</v>
      </c>
      <c r="AD105" s="111">
        <f t="shared" si="58"/>
        <v>1498001.444868</v>
      </c>
      <c r="AE105" s="112">
        <f t="shared" si="53"/>
        <v>858.39703600338214</v>
      </c>
      <c r="AF105" s="124">
        <f t="shared" si="80"/>
        <v>17.030557686362961</v>
      </c>
      <c r="AG105" s="124">
        <f t="shared" si="81"/>
        <v>2.8622786027500773</v>
      </c>
      <c r="AH105" s="113">
        <f t="shared" si="54"/>
        <v>15.185425</v>
      </c>
      <c r="AI105" s="112">
        <f t="shared" si="65"/>
        <v>69.543867281865744</v>
      </c>
      <c r="AJ105" s="122">
        <f t="shared" si="82"/>
        <v>975</v>
      </c>
      <c r="AK105" s="159">
        <f t="shared" si="83"/>
        <v>25.803500000000003</v>
      </c>
      <c r="AL105" s="127" t="s">
        <v>112</v>
      </c>
      <c r="AM105" s="122">
        <f t="shared" si="84"/>
        <v>127.9291128081243</v>
      </c>
      <c r="AN105" s="127" t="s">
        <v>112</v>
      </c>
      <c r="AO105" s="127" t="s">
        <v>112</v>
      </c>
      <c r="AP105" s="114">
        <f t="shared" si="76"/>
        <v>1233.354741379103</v>
      </c>
      <c r="AQ105" s="122">
        <f t="shared" si="85"/>
        <v>62.5</v>
      </c>
      <c r="AR105" s="114">
        <f t="shared" si="77"/>
        <v>2154.2517773824852</v>
      </c>
      <c r="AS105" s="122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  <c r="BE105" s="59"/>
      <c r="BF105" s="59"/>
      <c r="BG105" s="59"/>
      <c r="BH105" s="59"/>
      <c r="BI105" s="59"/>
      <c r="BJ105" s="59"/>
      <c r="BK105" s="59"/>
      <c r="BL105" s="59"/>
      <c r="BM105" s="59"/>
      <c r="BN105" s="59"/>
      <c r="BO105" s="59"/>
      <c r="BP105" s="59"/>
      <c r="BQ105" s="59"/>
      <c r="BR105" s="59"/>
      <c r="BS105" s="59"/>
      <c r="BT105" s="59"/>
      <c r="BU105" s="59"/>
      <c r="BV105" s="59"/>
    </row>
    <row r="106" spans="1:74" s="125" customFormat="1" ht="23.25" customHeight="1" x14ac:dyDescent="0.35">
      <c r="A106" s="105" t="s">
        <v>335</v>
      </c>
      <c r="B106" s="129" t="s">
        <v>151</v>
      </c>
      <c r="C106" s="140" t="s">
        <v>331</v>
      </c>
      <c r="D106" s="140" t="s">
        <v>295</v>
      </c>
      <c r="E106" s="105" t="s">
        <v>155</v>
      </c>
      <c r="F106" s="140" t="s">
        <v>337</v>
      </c>
      <c r="G106" s="122">
        <v>21060001</v>
      </c>
      <c r="H106" s="130" t="s">
        <v>185</v>
      </c>
      <c r="I106" s="145" t="s">
        <v>341</v>
      </c>
      <c r="J106" s="129" t="s">
        <v>222</v>
      </c>
      <c r="K106" s="140" t="s">
        <v>166</v>
      </c>
      <c r="L106" s="122">
        <v>1</v>
      </c>
      <c r="M106" s="122" t="s">
        <v>167</v>
      </c>
      <c r="N106" s="122"/>
      <c r="O106" s="122"/>
      <c r="P106" s="122"/>
      <c r="Q106" s="122"/>
      <c r="R106" s="122"/>
      <c r="S106" s="110"/>
      <c r="T106" s="153">
        <v>11150</v>
      </c>
      <c r="U106" s="153">
        <v>11150</v>
      </c>
      <c r="V106" s="156">
        <f>U106+998.34</f>
        <v>12148.34</v>
      </c>
      <c r="W106" s="110">
        <v>1746.86</v>
      </c>
      <c r="X106" s="122">
        <v>0</v>
      </c>
      <c r="Y106" s="83">
        <f t="shared" si="62"/>
        <v>1061072.46062</v>
      </c>
      <c r="Z106" s="111">
        <f t="shared" si="57"/>
        <v>424428.98424799996</v>
      </c>
      <c r="AA106" s="122">
        <f t="shared" si="78"/>
        <v>7500</v>
      </c>
      <c r="AB106" s="122">
        <f t="shared" si="79"/>
        <v>5000</v>
      </c>
      <c r="AC106" s="127" t="s">
        <v>112</v>
      </c>
      <c r="AD106" s="111">
        <f t="shared" si="58"/>
        <v>1498001.444868</v>
      </c>
      <c r="AE106" s="112">
        <f t="shared" si="53"/>
        <v>858.39703600338214</v>
      </c>
      <c r="AF106" s="124">
        <f>(119000/W106)/4</f>
        <v>17.030557686362961</v>
      </c>
      <c r="AG106" s="124">
        <f t="shared" si="81"/>
        <v>2.8622786027500773</v>
      </c>
      <c r="AH106" s="113">
        <f t="shared" si="54"/>
        <v>15.185425</v>
      </c>
      <c r="AI106" s="112">
        <f t="shared" si="65"/>
        <v>69.543867281865744</v>
      </c>
      <c r="AJ106" s="122">
        <f t="shared" si="82"/>
        <v>975</v>
      </c>
      <c r="AK106" s="159">
        <f t="shared" si="83"/>
        <v>25.803500000000003</v>
      </c>
      <c r="AL106" s="127" t="s">
        <v>112</v>
      </c>
      <c r="AM106" s="122">
        <f t="shared" si="84"/>
        <v>127.9291128081243</v>
      </c>
      <c r="AN106" s="127" t="s">
        <v>112</v>
      </c>
      <c r="AO106" s="127" t="s">
        <v>112</v>
      </c>
      <c r="AP106" s="114">
        <f t="shared" si="76"/>
        <v>1233.354741379103</v>
      </c>
      <c r="AQ106" s="122">
        <f t="shared" si="85"/>
        <v>62.5</v>
      </c>
      <c r="AR106" s="114">
        <f t="shared" si="77"/>
        <v>2154.2517773824852</v>
      </c>
      <c r="AS106" s="122"/>
      <c r="AT106" s="59"/>
      <c r="AU106" s="59"/>
      <c r="AV106" s="59"/>
      <c r="AW106" s="59"/>
      <c r="AX106" s="59"/>
      <c r="AY106" s="59"/>
      <c r="AZ106" s="59"/>
      <c r="BA106" s="59"/>
      <c r="BB106" s="59"/>
      <c r="BC106" s="59"/>
      <c r="BD106" s="59"/>
      <c r="BE106" s="59"/>
      <c r="BF106" s="59"/>
      <c r="BG106" s="59"/>
      <c r="BH106" s="59"/>
      <c r="BI106" s="59"/>
      <c r="BJ106" s="59"/>
      <c r="BK106" s="59"/>
      <c r="BL106" s="59"/>
      <c r="BM106" s="59"/>
      <c r="BN106" s="59"/>
      <c r="BO106" s="59"/>
      <c r="BP106" s="59"/>
      <c r="BQ106" s="59"/>
      <c r="BR106" s="59"/>
      <c r="BS106" s="59"/>
      <c r="BT106" s="59"/>
      <c r="BU106" s="59"/>
      <c r="BV106" s="59"/>
    </row>
    <row r="107" spans="1:74" ht="23.25" customHeight="1" x14ac:dyDescent="0.35">
      <c r="A107" s="116"/>
      <c r="B107" s="116"/>
      <c r="C107" s="116"/>
      <c r="D107" s="116"/>
      <c r="E107" s="116"/>
      <c r="F107" s="116"/>
      <c r="G107" s="116"/>
      <c r="H107" s="116"/>
      <c r="I107" s="116"/>
      <c r="J107" s="116"/>
      <c r="K107" s="116"/>
      <c r="L107" s="116"/>
      <c r="M107" s="116"/>
      <c r="N107" s="116"/>
      <c r="O107" s="116"/>
      <c r="P107" s="116"/>
      <c r="Q107" s="116"/>
      <c r="R107" s="116"/>
      <c r="S107" s="117"/>
      <c r="T107" s="155">
        <f>SUM(T103:T106)</f>
        <v>39900</v>
      </c>
      <c r="U107" s="155">
        <f>SUM(U103:U106)</f>
        <v>39900</v>
      </c>
      <c r="V107" s="157">
        <f>SUM(V103:V106)</f>
        <v>43893.36</v>
      </c>
      <c r="W107" s="117"/>
      <c r="X107" s="116"/>
      <c r="Y107" s="119">
        <f>SUM(Y102:Y106)</f>
        <v>3833777.74248</v>
      </c>
      <c r="Z107" s="119">
        <f>SUM(Z102:Z106)</f>
        <v>1533511.0969919998</v>
      </c>
      <c r="AA107" s="150">
        <f>SUM(AA102:AA106)</f>
        <v>30000</v>
      </c>
      <c r="AB107" s="149">
        <f>SUM(AB102:AB106)</f>
        <v>20000</v>
      </c>
      <c r="AC107" s="149"/>
      <c r="AD107" s="119">
        <f t="shared" ref="AD107:AI107" si="87">SUM(AD102:AD106)</f>
        <v>5417288.8394720005</v>
      </c>
      <c r="AE107" s="119">
        <f t="shared" si="87"/>
        <v>3104.2591440135288</v>
      </c>
      <c r="AF107" s="119">
        <f t="shared" si="87"/>
        <v>68.122230745451844</v>
      </c>
      <c r="AG107" s="119">
        <f t="shared" si="87"/>
        <v>11.449114411000309</v>
      </c>
      <c r="AH107" s="119">
        <f t="shared" si="87"/>
        <v>54.866700000000002</v>
      </c>
      <c r="AI107" s="119">
        <f t="shared" si="87"/>
        <v>251.27005026161225</v>
      </c>
      <c r="AJ107" s="116">
        <f>SUM(AJ103:AJ106)</f>
        <v>3900</v>
      </c>
      <c r="AK107" s="116">
        <f>SUM(AK103:AK106)</f>
        <v>93.391000000000005</v>
      </c>
      <c r="AL107" s="158" t="s">
        <v>112</v>
      </c>
      <c r="AM107" s="126">
        <f>SUM(AM102:AM106)</f>
        <v>511.71645123249721</v>
      </c>
      <c r="AN107" s="116">
        <f>SUM(AN103:AN106)</f>
        <v>0</v>
      </c>
      <c r="AO107" s="116">
        <f>SUM(AO103:AO106)</f>
        <v>0</v>
      </c>
      <c r="AP107" s="126">
        <f>SUM(AP102:AP106)</f>
        <v>4890.8155466505614</v>
      </c>
      <c r="AQ107" s="126">
        <f>SUM(AQ102:AQ106)</f>
        <v>250</v>
      </c>
      <c r="AR107" s="126">
        <f>SUM(AR102:AR106)</f>
        <v>8245.0746906640907</v>
      </c>
      <c r="AS107" s="116"/>
    </row>
    <row r="108" spans="1:74" s="125" customFormat="1" ht="24.75" customHeight="1" x14ac:dyDescent="0.35">
      <c r="A108" s="105" t="s">
        <v>343</v>
      </c>
      <c r="B108" s="129" t="s">
        <v>151</v>
      </c>
      <c r="C108" s="140" t="s">
        <v>354</v>
      </c>
      <c r="D108" s="140" t="s">
        <v>346</v>
      </c>
      <c r="E108" s="105" t="s">
        <v>155</v>
      </c>
      <c r="F108" s="140" t="s">
        <v>347</v>
      </c>
      <c r="G108" s="122">
        <v>21090001</v>
      </c>
      <c r="H108" s="140" t="s">
        <v>342</v>
      </c>
      <c r="I108" s="140" t="s">
        <v>349</v>
      </c>
      <c r="J108" s="140" t="s">
        <v>348</v>
      </c>
      <c r="K108" s="140" t="s">
        <v>166</v>
      </c>
      <c r="L108" s="122">
        <v>1</v>
      </c>
      <c r="M108" s="122" t="s">
        <v>167</v>
      </c>
      <c r="N108" s="122" t="s">
        <v>352</v>
      </c>
      <c r="O108" s="122">
        <v>1</v>
      </c>
      <c r="P108" s="122" t="s">
        <v>353</v>
      </c>
      <c r="Q108" s="109">
        <v>44580</v>
      </c>
      <c r="R108" s="152">
        <v>100193621140</v>
      </c>
      <c r="S108" s="109">
        <v>44571</v>
      </c>
      <c r="T108" s="142">
        <f>3600+286.67</f>
        <v>3886.67</v>
      </c>
      <c r="U108" s="142">
        <f>3600+286.67</f>
        <v>3886.67</v>
      </c>
      <c r="V108" s="142">
        <f>3600+286.67</f>
        <v>3886.67</v>
      </c>
      <c r="W108" s="110">
        <v>1778</v>
      </c>
      <c r="X108" s="127" t="s">
        <v>112</v>
      </c>
      <c r="Y108" s="83">
        <f t="shared" si="62"/>
        <v>345524.96299999999</v>
      </c>
      <c r="Z108" s="111">
        <f t="shared" si="57"/>
        <v>138209.9852</v>
      </c>
      <c r="AA108" s="122">
        <f>30000/3</f>
        <v>10000</v>
      </c>
      <c r="AB108" s="127" t="s">
        <v>112</v>
      </c>
      <c r="AC108" s="127" t="s">
        <v>112</v>
      </c>
      <c r="AD108" s="111">
        <f t="shared" si="58"/>
        <v>493734.94819999998</v>
      </c>
      <c r="AE108" s="112">
        <f t="shared" si="53"/>
        <v>277.96888815984255</v>
      </c>
      <c r="AF108" s="127" t="s">
        <v>112</v>
      </c>
      <c r="AG108" s="124">
        <f>(20000/3)/W108</f>
        <v>3.7495313085864268</v>
      </c>
      <c r="AH108" s="113">
        <f t="shared" si="54"/>
        <v>4.8583375000000002</v>
      </c>
      <c r="AI108" s="112">
        <f t="shared" si="65"/>
        <v>21.859786276715408</v>
      </c>
      <c r="AJ108" s="127" t="s">
        <v>112</v>
      </c>
      <c r="AK108" s="127" t="s">
        <v>112</v>
      </c>
      <c r="AL108" s="127" t="s">
        <v>112</v>
      </c>
      <c r="AM108" s="122">
        <f>(617200/W108)/3</f>
        <v>115.71053618297714</v>
      </c>
      <c r="AN108" s="127" t="s">
        <v>112</v>
      </c>
      <c r="AO108" s="127" t="s">
        <v>112</v>
      </c>
      <c r="AP108" s="114">
        <f t="shared" si="76"/>
        <v>146.17819126827897</v>
      </c>
      <c r="AQ108" s="122">
        <f>150/3</f>
        <v>50</v>
      </c>
      <c r="AR108" s="114">
        <f t="shared" si="77"/>
        <v>474.14707942812151</v>
      </c>
      <c r="AS108" s="122"/>
      <c r="AT108" s="59"/>
      <c r="AU108" s="59"/>
      <c r="AV108" s="59"/>
      <c r="AW108" s="59"/>
      <c r="AX108" s="59"/>
      <c r="AY108" s="59"/>
      <c r="AZ108" s="59"/>
      <c r="BA108" s="59"/>
      <c r="BB108" s="59"/>
      <c r="BC108" s="59"/>
      <c r="BD108" s="59"/>
      <c r="BE108" s="59"/>
      <c r="BF108" s="59"/>
      <c r="BG108" s="59"/>
      <c r="BH108" s="59"/>
      <c r="BI108" s="59"/>
      <c r="BJ108" s="59"/>
      <c r="BK108" s="59"/>
      <c r="BL108" s="59"/>
      <c r="BM108" s="59"/>
      <c r="BN108" s="59"/>
      <c r="BO108" s="59"/>
      <c r="BP108" s="59"/>
      <c r="BQ108" s="59"/>
      <c r="BR108" s="59"/>
      <c r="BS108" s="59"/>
      <c r="BT108" s="59"/>
      <c r="BU108" s="59"/>
      <c r="BV108" s="59"/>
    </row>
    <row r="109" spans="1:74" s="125" customFormat="1" ht="24.75" customHeight="1" x14ac:dyDescent="0.35">
      <c r="A109" s="105" t="s">
        <v>344</v>
      </c>
      <c r="B109" s="129" t="s">
        <v>151</v>
      </c>
      <c r="C109" s="140" t="s">
        <v>354</v>
      </c>
      <c r="D109" s="140" t="s">
        <v>346</v>
      </c>
      <c r="E109" s="105" t="s">
        <v>155</v>
      </c>
      <c r="F109" s="140" t="s">
        <v>347</v>
      </c>
      <c r="G109" s="122">
        <v>21090001</v>
      </c>
      <c r="H109" s="140" t="s">
        <v>342</v>
      </c>
      <c r="I109" s="140" t="s">
        <v>350</v>
      </c>
      <c r="J109" s="140" t="s">
        <v>348</v>
      </c>
      <c r="K109" s="140" t="s">
        <v>166</v>
      </c>
      <c r="L109" s="122">
        <v>1</v>
      </c>
      <c r="M109" s="122" t="s">
        <v>167</v>
      </c>
      <c r="N109" s="122"/>
      <c r="O109" s="122"/>
      <c r="P109" s="122"/>
      <c r="Q109" s="122"/>
      <c r="R109" s="122"/>
      <c r="S109" s="110"/>
      <c r="T109" s="142">
        <f t="shared" ref="T109:V110" si="88">3600+286.67</f>
        <v>3886.67</v>
      </c>
      <c r="U109" s="142">
        <f t="shared" si="88"/>
        <v>3886.67</v>
      </c>
      <c r="V109" s="142">
        <f t="shared" si="88"/>
        <v>3886.67</v>
      </c>
      <c r="W109" s="110">
        <v>1778</v>
      </c>
      <c r="X109" s="127" t="s">
        <v>112</v>
      </c>
      <c r="Y109" s="83">
        <f t="shared" si="62"/>
        <v>345524.96299999999</v>
      </c>
      <c r="Z109" s="111">
        <f t="shared" si="57"/>
        <v>138209.9852</v>
      </c>
      <c r="AA109" s="122">
        <f t="shared" ref="AA109:AA110" si="89">30000/3</f>
        <v>10000</v>
      </c>
      <c r="AB109" s="127" t="s">
        <v>112</v>
      </c>
      <c r="AC109" s="127" t="s">
        <v>112</v>
      </c>
      <c r="AD109" s="111">
        <f t="shared" si="58"/>
        <v>493734.94819999998</v>
      </c>
      <c r="AE109" s="112">
        <f t="shared" si="53"/>
        <v>277.96888815984255</v>
      </c>
      <c r="AF109" s="127" t="s">
        <v>112</v>
      </c>
      <c r="AG109" s="124">
        <f t="shared" ref="AG109:AG110" si="90">(20000/3)/W109</f>
        <v>3.7495313085864268</v>
      </c>
      <c r="AH109" s="113">
        <f t="shared" si="54"/>
        <v>4.8583375000000002</v>
      </c>
      <c r="AI109" s="112">
        <f t="shared" si="65"/>
        <v>21.859786276715408</v>
      </c>
      <c r="AJ109" s="127" t="s">
        <v>112</v>
      </c>
      <c r="AK109" s="127" t="s">
        <v>112</v>
      </c>
      <c r="AL109" s="127" t="s">
        <v>112</v>
      </c>
      <c r="AM109" s="122">
        <f t="shared" ref="AM109:AM110" si="91">(617200/W109)/3</f>
        <v>115.71053618297714</v>
      </c>
      <c r="AN109" s="127" t="s">
        <v>112</v>
      </c>
      <c r="AO109" s="127" t="s">
        <v>112</v>
      </c>
      <c r="AP109" s="114">
        <f t="shared" si="76"/>
        <v>146.17819126827897</v>
      </c>
      <c r="AQ109" s="122">
        <f t="shared" ref="AQ109:AQ110" si="92">150/3</f>
        <v>50</v>
      </c>
      <c r="AR109" s="114">
        <f t="shared" si="77"/>
        <v>474.14707942812151</v>
      </c>
      <c r="AS109" s="122"/>
      <c r="AT109" s="59"/>
      <c r="AU109" s="59"/>
      <c r="AV109" s="59"/>
      <c r="AW109" s="59"/>
      <c r="AX109" s="59"/>
      <c r="AY109" s="59"/>
      <c r="AZ109" s="59"/>
      <c r="BA109" s="59"/>
      <c r="BB109" s="59"/>
      <c r="BC109" s="59"/>
      <c r="BD109" s="59"/>
      <c r="BE109" s="59"/>
      <c r="BF109" s="59"/>
      <c r="BG109" s="59"/>
      <c r="BH109" s="59"/>
      <c r="BI109" s="59"/>
      <c r="BJ109" s="59"/>
      <c r="BK109" s="59"/>
      <c r="BL109" s="59"/>
      <c r="BM109" s="59"/>
      <c r="BN109" s="59"/>
      <c r="BO109" s="59"/>
      <c r="BP109" s="59"/>
      <c r="BQ109" s="59"/>
      <c r="BR109" s="59"/>
      <c r="BS109" s="59"/>
      <c r="BT109" s="59"/>
      <c r="BU109" s="59"/>
      <c r="BV109" s="59"/>
    </row>
    <row r="110" spans="1:74" s="125" customFormat="1" ht="24.75" customHeight="1" x14ac:dyDescent="0.35">
      <c r="A110" s="105" t="s">
        <v>345</v>
      </c>
      <c r="B110" s="129" t="s">
        <v>151</v>
      </c>
      <c r="C110" s="140" t="s">
        <v>354</v>
      </c>
      <c r="D110" s="140" t="s">
        <v>346</v>
      </c>
      <c r="E110" s="105" t="s">
        <v>155</v>
      </c>
      <c r="F110" s="140" t="s">
        <v>347</v>
      </c>
      <c r="G110" s="122">
        <v>21090001</v>
      </c>
      <c r="H110" s="140" t="s">
        <v>342</v>
      </c>
      <c r="I110" s="140" t="s">
        <v>351</v>
      </c>
      <c r="J110" s="140" t="s">
        <v>348</v>
      </c>
      <c r="K110" s="140" t="s">
        <v>166</v>
      </c>
      <c r="L110" s="122">
        <v>1</v>
      </c>
      <c r="M110" s="122" t="s">
        <v>167</v>
      </c>
      <c r="N110" s="122"/>
      <c r="O110" s="122"/>
      <c r="P110" s="122"/>
      <c r="Q110" s="122"/>
      <c r="R110" s="122"/>
      <c r="S110" s="110"/>
      <c r="T110" s="142">
        <f t="shared" si="88"/>
        <v>3886.67</v>
      </c>
      <c r="U110" s="142">
        <f t="shared" si="88"/>
        <v>3886.67</v>
      </c>
      <c r="V110" s="142">
        <f t="shared" si="88"/>
        <v>3886.67</v>
      </c>
      <c r="W110" s="110">
        <v>1778</v>
      </c>
      <c r="X110" s="127" t="s">
        <v>112</v>
      </c>
      <c r="Y110" s="83">
        <f t="shared" si="62"/>
        <v>345524.96299999999</v>
      </c>
      <c r="Z110" s="111">
        <f t="shared" si="57"/>
        <v>138209.9852</v>
      </c>
      <c r="AA110" s="122">
        <f t="shared" si="89"/>
        <v>10000</v>
      </c>
      <c r="AB110" s="127" t="s">
        <v>112</v>
      </c>
      <c r="AC110" s="127" t="s">
        <v>112</v>
      </c>
      <c r="AD110" s="111">
        <f t="shared" si="58"/>
        <v>493734.94819999998</v>
      </c>
      <c r="AE110" s="112">
        <f t="shared" si="53"/>
        <v>277.96888815984255</v>
      </c>
      <c r="AF110" s="127" t="s">
        <v>112</v>
      </c>
      <c r="AG110" s="124">
        <f t="shared" si="90"/>
        <v>3.7495313085864268</v>
      </c>
      <c r="AH110" s="113">
        <f t="shared" si="54"/>
        <v>4.8583375000000002</v>
      </c>
      <c r="AI110" s="112">
        <f t="shared" si="65"/>
        <v>21.859786276715408</v>
      </c>
      <c r="AJ110" s="127" t="s">
        <v>112</v>
      </c>
      <c r="AK110" s="127" t="s">
        <v>112</v>
      </c>
      <c r="AL110" s="127" t="s">
        <v>112</v>
      </c>
      <c r="AM110" s="122">
        <f t="shared" si="91"/>
        <v>115.71053618297714</v>
      </c>
      <c r="AN110" s="127" t="s">
        <v>112</v>
      </c>
      <c r="AO110" s="127" t="s">
        <v>112</v>
      </c>
      <c r="AP110" s="114">
        <f t="shared" si="76"/>
        <v>146.17819126827897</v>
      </c>
      <c r="AQ110" s="122">
        <f t="shared" si="92"/>
        <v>50</v>
      </c>
      <c r="AR110" s="114">
        <f t="shared" si="77"/>
        <v>474.14707942812151</v>
      </c>
      <c r="AS110" s="122"/>
      <c r="AT110" s="59"/>
      <c r="AU110" s="59"/>
      <c r="AV110" s="59"/>
      <c r="AW110" s="59"/>
      <c r="AX110" s="59"/>
      <c r="AY110" s="59"/>
      <c r="AZ110" s="59"/>
      <c r="BA110" s="59"/>
      <c r="BB110" s="59"/>
      <c r="BC110" s="59"/>
      <c r="BD110" s="59"/>
      <c r="BE110" s="59"/>
      <c r="BF110" s="59"/>
      <c r="BG110" s="59"/>
      <c r="BH110" s="59"/>
      <c r="BI110" s="59"/>
      <c r="BJ110" s="59"/>
      <c r="BK110" s="59"/>
      <c r="BL110" s="59"/>
      <c r="BM110" s="59"/>
      <c r="BN110" s="59"/>
      <c r="BO110" s="59"/>
      <c r="BP110" s="59"/>
      <c r="BQ110" s="59"/>
      <c r="BR110" s="59"/>
      <c r="BS110" s="59"/>
      <c r="BT110" s="59"/>
      <c r="BU110" s="59"/>
      <c r="BV110" s="59"/>
    </row>
    <row r="111" spans="1:74" ht="24.75" customHeight="1" x14ac:dyDescent="0.35">
      <c r="A111" s="116"/>
      <c r="B111" s="116"/>
      <c r="C111" s="116"/>
      <c r="D111" s="116"/>
      <c r="E111" s="116"/>
      <c r="F111" s="116"/>
      <c r="G111" s="116"/>
      <c r="H111" s="116"/>
      <c r="I111" s="116"/>
      <c r="J111" s="116"/>
      <c r="K111" s="116"/>
      <c r="L111" s="116"/>
      <c r="M111" s="116"/>
      <c r="N111" s="116"/>
      <c r="O111" s="116"/>
      <c r="P111" s="116"/>
      <c r="Q111" s="116"/>
      <c r="R111" s="116"/>
      <c r="S111" s="117"/>
      <c r="T111" s="117"/>
      <c r="U111" s="117"/>
      <c r="V111" s="117"/>
      <c r="W111" s="117"/>
      <c r="X111" s="116"/>
      <c r="Y111" s="126">
        <f>SUM(Y108:Y110)</f>
        <v>1036574.889</v>
      </c>
      <c r="Z111" s="126">
        <f>SUM(Z108:Z110)</f>
        <v>414629.95559999999</v>
      </c>
      <c r="AA111" s="144">
        <f>SUM(AA108:AA110)</f>
        <v>30000</v>
      </c>
      <c r="AB111" s="116"/>
      <c r="AC111" s="116"/>
      <c r="AD111" s="126">
        <f t="shared" ref="AD111:AI111" si="93">SUM(AD108:AD110)</f>
        <v>1481204.8446</v>
      </c>
      <c r="AE111" s="126">
        <f t="shared" si="93"/>
        <v>833.90666447952765</v>
      </c>
      <c r="AF111" s="126">
        <f t="shared" si="93"/>
        <v>0</v>
      </c>
      <c r="AG111" s="126">
        <f t="shared" si="93"/>
        <v>11.24859392575928</v>
      </c>
      <c r="AH111" s="126">
        <f t="shared" si="93"/>
        <v>14.5750125</v>
      </c>
      <c r="AI111" s="126">
        <f t="shared" si="93"/>
        <v>65.579358830146219</v>
      </c>
      <c r="AJ111" s="116">
        <f t="shared" ref="AJ111:AL111" si="94">SUM(AJ108:AJ110)</f>
        <v>0</v>
      </c>
      <c r="AK111" s="116">
        <f t="shared" si="94"/>
        <v>0</v>
      </c>
      <c r="AL111" s="116">
        <f t="shared" si="94"/>
        <v>0</v>
      </c>
      <c r="AM111" s="126">
        <f>SUM(AM106:AM110)</f>
        <v>986.77717258955295</v>
      </c>
      <c r="AN111" s="116">
        <f>SUM(AN108:AN110)</f>
        <v>0</v>
      </c>
      <c r="AO111" s="116">
        <f>SUM(AO108:AO110)</f>
        <v>0</v>
      </c>
      <c r="AP111" s="126">
        <f>SUM(AP106:AP110)</f>
        <v>6562.7048618345016</v>
      </c>
      <c r="AQ111" s="126">
        <f>SUM(AQ106:AQ110)</f>
        <v>462.5</v>
      </c>
      <c r="AR111" s="126">
        <f>SUM(AR106:AR110)</f>
        <v>11821.76770633094</v>
      </c>
      <c r="AS111" s="116"/>
    </row>
    <row r="112" spans="1:74" ht="24" customHeight="1" x14ac:dyDescent="0.35">
      <c r="A112" s="160" t="s">
        <v>355</v>
      </c>
      <c r="B112" s="160" t="s">
        <v>151</v>
      </c>
      <c r="C112" s="160" t="s">
        <v>356</v>
      </c>
      <c r="D112" s="160" t="s">
        <v>357</v>
      </c>
      <c r="E112" s="105" t="s">
        <v>155</v>
      </c>
      <c r="F112" s="160" t="s">
        <v>358</v>
      </c>
      <c r="G112" s="160">
        <v>21080001</v>
      </c>
      <c r="H112" s="160" t="s">
        <v>185</v>
      </c>
      <c r="I112" s="160" t="s">
        <v>359</v>
      </c>
      <c r="J112" s="160" t="s">
        <v>174</v>
      </c>
      <c r="K112" s="160" t="s">
        <v>244</v>
      </c>
      <c r="L112" s="160">
        <v>1</v>
      </c>
      <c r="M112" s="160" t="s">
        <v>167</v>
      </c>
      <c r="N112" s="160" t="s">
        <v>245</v>
      </c>
      <c r="O112" s="122">
        <v>1</v>
      </c>
      <c r="P112" s="160" t="s">
        <v>111</v>
      </c>
      <c r="Q112" s="109">
        <v>44590</v>
      </c>
      <c r="R112" s="152">
        <v>100191553454</v>
      </c>
      <c r="S112" s="109">
        <v>44550</v>
      </c>
      <c r="T112" s="153">
        <v>24017</v>
      </c>
      <c r="U112" s="153">
        <v>24017</v>
      </c>
      <c r="V112" s="153">
        <v>27200</v>
      </c>
      <c r="W112" s="161">
        <v>1780</v>
      </c>
      <c r="X112" s="111">
        <f>V112*3%*W112</f>
        <v>1452480</v>
      </c>
      <c r="Y112" s="83">
        <f t="shared" si="62"/>
        <v>2493424</v>
      </c>
      <c r="Z112" s="111">
        <f t="shared" si="57"/>
        <v>968320</v>
      </c>
      <c r="AA112" s="160">
        <v>30000</v>
      </c>
      <c r="AB112" s="163" t="s">
        <v>112</v>
      </c>
      <c r="AC112" s="160">
        <v>539756</v>
      </c>
      <c r="AD112" s="111">
        <f t="shared" si="58"/>
        <v>5483980</v>
      </c>
      <c r="AE112" s="112">
        <f t="shared" si="53"/>
        <v>3083.9685280898875</v>
      </c>
      <c r="AF112" s="124">
        <f>(119000/W112)/1</f>
        <v>66.853932584269657</v>
      </c>
      <c r="AG112" s="124">
        <f>(20000/1)/W112</f>
        <v>11.235955056179776</v>
      </c>
      <c r="AH112" s="113">
        <f t="shared" si="54"/>
        <v>34</v>
      </c>
      <c r="AI112" s="112">
        <f t="shared" si="65"/>
        <v>152.80898876404495</v>
      </c>
      <c r="AJ112" s="163" t="s">
        <v>112</v>
      </c>
      <c r="AK112" s="163" t="s">
        <v>112</v>
      </c>
      <c r="AL112" s="163" t="s">
        <v>112</v>
      </c>
      <c r="AM112" s="122">
        <f>(1500000/W112)/1</f>
        <v>842.69662921348311</v>
      </c>
      <c r="AN112" s="163" t="s">
        <v>112</v>
      </c>
      <c r="AO112" s="127" t="s">
        <v>112</v>
      </c>
      <c r="AP112" s="114">
        <f t="shared" si="76"/>
        <v>1107.5955056179776</v>
      </c>
      <c r="AQ112" s="122">
        <f>150/1</f>
        <v>150</v>
      </c>
      <c r="AR112" s="114">
        <f t="shared" si="77"/>
        <v>4341.5640337078648</v>
      </c>
      <c r="AS112" s="162"/>
    </row>
    <row r="113" spans="1:74" ht="24" customHeight="1" x14ac:dyDescent="0.35">
      <c r="A113" s="116"/>
      <c r="B113" s="116"/>
      <c r="C113" s="116"/>
      <c r="D113" s="116"/>
      <c r="E113" s="116"/>
      <c r="F113" s="116"/>
      <c r="G113" s="116"/>
      <c r="H113" s="116"/>
      <c r="I113" s="116"/>
      <c r="J113" s="116"/>
      <c r="K113" s="116"/>
      <c r="L113" s="116"/>
      <c r="M113" s="116"/>
      <c r="N113" s="116"/>
      <c r="O113" s="116"/>
      <c r="P113" s="116"/>
      <c r="Q113" s="116"/>
      <c r="R113" s="116"/>
      <c r="S113" s="117"/>
      <c r="T113" s="117"/>
      <c r="U113" s="117"/>
      <c r="V113" s="117"/>
      <c r="W113" s="117"/>
      <c r="X113" s="116"/>
      <c r="Y113" s="116"/>
      <c r="Z113" s="116"/>
      <c r="AA113" s="116"/>
      <c r="AB113" s="116"/>
      <c r="AC113" s="116"/>
      <c r="AD113" s="116"/>
      <c r="AE113" s="116"/>
      <c r="AF113" s="116"/>
      <c r="AG113" s="116"/>
      <c r="AH113" s="116"/>
      <c r="AI113" s="116"/>
      <c r="AJ113" s="116"/>
      <c r="AK113" s="116"/>
      <c r="AL113" s="116"/>
      <c r="AM113" s="116"/>
      <c r="AN113" s="116"/>
      <c r="AO113" s="116"/>
      <c r="AP113" s="116"/>
      <c r="AQ113" s="116"/>
      <c r="AR113" s="116"/>
      <c r="AS113" s="116"/>
    </row>
    <row r="114" spans="1:74" s="125" customFormat="1" ht="21.75" customHeight="1" x14ac:dyDescent="0.35">
      <c r="A114" s="105" t="s">
        <v>363</v>
      </c>
      <c r="B114" s="129" t="s">
        <v>151</v>
      </c>
      <c r="C114" s="140" t="s">
        <v>364</v>
      </c>
      <c r="D114" s="140" t="s">
        <v>360</v>
      </c>
      <c r="E114" s="105" t="s">
        <v>155</v>
      </c>
      <c r="F114" s="140" t="s">
        <v>397</v>
      </c>
      <c r="G114" s="140">
        <v>21110001</v>
      </c>
      <c r="H114" s="130" t="s">
        <v>185</v>
      </c>
      <c r="I114" s="145" t="s">
        <v>399</v>
      </c>
      <c r="J114" s="140" t="s">
        <v>222</v>
      </c>
      <c r="K114" s="140" t="s">
        <v>166</v>
      </c>
      <c r="L114" s="166">
        <v>1</v>
      </c>
      <c r="M114" s="166" t="s">
        <v>167</v>
      </c>
      <c r="N114" s="122" t="s">
        <v>182</v>
      </c>
      <c r="O114" s="122">
        <v>1</v>
      </c>
      <c r="P114" s="122" t="s">
        <v>111</v>
      </c>
      <c r="Q114" s="109">
        <v>44603</v>
      </c>
      <c r="R114" s="152">
        <v>100195221930</v>
      </c>
      <c r="S114" s="109">
        <v>44588</v>
      </c>
      <c r="T114" s="142">
        <v>11300</v>
      </c>
      <c r="U114" s="142">
        <v>11300</v>
      </c>
      <c r="V114" s="142">
        <v>12443.04</v>
      </c>
      <c r="W114" s="110">
        <v>1778</v>
      </c>
      <c r="X114" s="127" t="s">
        <v>112</v>
      </c>
      <c r="Y114" s="83">
        <f t="shared" si="62"/>
        <v>1106186.2560000001</v>
      </c>
      <c r="Z114" s="111">
        <f t="shared" si="57"/>
        <v>442474.5024</v>
      </c>
      <c r="AA114" s="122">
        <f>30000/33</f>
        <v>909.09090909090912</v>
      </c>
      <c r="AB114" s="122">
        <f>20000/33</f>
        <v>606.06060606060601</v>
      </c>
      <c r="AC114" s="127" t="s">
        <v>112</v>
      </c>
      <c r="AD114" s="111">
        <f t="shared" si="58"/>
        <v>1550175.9099151515</v>
      </c>
      <c r="AE114" s="112">
        <f t="shared" si="53"/>
        <v>872.73683117270343</v>
      </c>
      <c r="AF114" s="124">
        <f>(129000/W114)/3</f>
        <v>24.184476940382453</v>
      </c>
      <c r="AG114" s="124">
        <f>(20000/33)/W114</f>
        <v>0.34086648259876601</v>
      </c>
      <c r="AH114" s="113">
        <f t="shared" si="54"/>
        <v>15.553800000000001</v>
      </c>
      <c r="AI114" s="112">
        <f t="shared" si="65"/>
        <v>69.983352080989874</v>
      </c>
      <c r="AJ114" s="122">
        <f>4130/3</f>
        <v>1376.6666666666667</v>
      </c>
      <c r="AK114" s="127" t="s">
        <v>112</v>
      </c>
      <c r="AL114" s="127" t="s">
        <v>112</v>
      </c>
      <c r="AM114" s="122">
        <f>(1344936/W114)/33</f>
        <v>22.922180182022704</v>
      </c>
      <c r="AN114" s="127" t="s">
        <v>112</v>
      </c>
      <c r="AO114" s="127" t="s">
        <v>112</v>
      </c>
      <c r="AP114" s="114">
        <f t="shared" si="76"/>
        <v>1509.6513423526605</v>
      </c>
      <c r="AQ114" s="122">
        <f>300/33</f>
        <v>9.0909090909090917</v>
      </c>
      <c r="AR114" s="114">
        <f t="shared" si="77"/>
        <v>2391.479082616273</v>
      </c>
      <c r="AS114" s="122"/>
      <c r="AT114" s="59"/>
      <c r="AU114" s="59"/>
      <c r="AV114" s="59"/>
      <c r="AW114" s="59"/>
      <c r="AX114" s="59"/>
      <c r="AY114" s="59"/>
      <c r="AZ114" s="59"/>
      <c r="BA114" s="59"/>
      <c r="BB114" s="59"/>
      <c r="BC114" s="59"/>
      <c r="BD114" s="59"/>
      <c r="BE114" s="59"/>
      <c r="BF114" s="59"/>
      <c r="BG114" s="59"/>
      <c r="BH114" s="59"/>
      <c r="BI114" s="59"/>
      <c r="BJ114" s="59"/>
      <c r="BK114" s="59"/>
      <c r="BL114" s="59"/>
      <c r="BM114" s="59"/>
      <c r="BN114" s="59"/>
      <c r="BO114" s="59"/>
      <c r="BP114" s="59"/>
      <c r="BQ114" s="59"/>
      <c r="BR114" s="59"/>
      <c r="BS114" s="59"/>
      <c r="BT114" s="59"/>
      <c r="BU114" s="59"/>
      <c r="BV114" s="59"/>
    </row>
    <row r="115" spans="1:74" s="125" customFormat="1" ht="21.75" customHeight="1" x14ac:dyDescent="0.35">
      <c r="A115" s="105" t="s">
        <v>365</v>
      </c>
      <c r="B115" s="129" t="s">
        <v>151</v>
      </c>
      <c r="C115" s="140" t="s">
        <v>364</v>
      </c>
      <c r="D115" s="140" t="s">
        <v>361</v>
      </c>
      <c r="E115" s="105" t="s">
        <v>155</v>
      </c>
      <c r="F115" s="140" t="s">
        <v>397</v>
      </c>
      <c r="G115" s="140">
        <v>21110001</v>
      </c>
      <c r="H115" s="130" t="s">
        <v>185</v>
      </c>
      <c r="I115" s="145" t="s">
        <v>400</v>
      </c>
      <c r="J115" s="140" t="s">
        <v>222</v>
      </c>
      <c r="K115" s="140" t="s">
        <v>166</v>
      </c>
      <c r="L115" s="166">
        <v>1</v>
      </c>
      <c r="M115" s="166" t="s">
        <v>167</v>
      </c>
      <c r="N115" s="122"/>
      <c r="O115" s="122"/>
      <c r="P115" s="122"/>
      <c r="Q115" s="122"/>
      <c r="R115" s="122"/>
      <c r="S115" s="110"/>
      <c r="T115" s="142">
        <v>11900</v>
      </c>
      <c r="U115" s="142">
        <v>11900</v>
      </c>
      <c r="V115" s="142">
        <v>13103.73</v>
      </c>
      <c r="W115" s="110">
        <v>1778</v>
      </c>
      <c r="X115" s="127" t="s">
        <v>112</v>
      </c>
      <c r="Y115" s="83">
        <f t="shared" ref="Y115:Y146" si="95">(X115+(V115*W115))*5%</f>
        <v>1164921.5969999998</v>
      </c>
      <c r="Z115" s="111">
        <f t="shared" ref="Z115:Z146" si="96">V115*2%*W115</f>
        <v>465968.63879999996</v>
      </c>
      <c r="AA115" s="122">
        <f t="shared" ref="AA115:AA146" si="97">30000/33</f>
        <v>909.09090909090912</v>
      </c>
      <c r="AB115" s="122">
        <f t="shared" ref="AB115:AB146" si="98">20000/33</f>
        <v>606.06060606060601</v>
      </c>
      <c r="AC115" s="127" t="s">
        <v>112</v>
      </c>
      <c r="AD115" s="111">
        <f t="shared" si="58"/>
        <v>1632405.3873151513</v>
      </c>
      <c r="AE115" s="112">
        <f t="shared" ref="AE115:AE146" si="99">(AD115/W115)+((AD115*0.1%)/W115)</f>
        <v>919.03137947270329</v>
      </c>
      <c r="AF115" s="124">
        <f t="shared" ref="AF115:AF116" si="100">(129000/W115)/3</f>
        <v>24.184476940382453</v>
      </c>
      <c r="AG115" s="124">
        <f t="shared" ref="AG115:AG146" si="101">(20000/33)/W115</f>
        <v>0.34086648259876601</v>
      </c>
      <c r="AH115" s="113">
        <f t="shared" ref="AH115:AH146" si="102">V115*0.125%</f>
        <v>16.379662499999998</v>
      </c>
      <c r="AI115" s="112">
        <f t="shared" si="65"/>
        <v>73.699268841394826</v>
      </c>
      <c r="AJ115" s="122">
        <f t="shared" ref="AJ115:AJ116" si="103">4130/3</f>
        <v>1376.6666666666667</v>
      </c>
      <c r="AK115" s="127" t="s">
        <v>112</v>
      </c>
      <c r="AL115" s="127" t="s">
        <v>112</v>
      </c>
      <c r="AM115" s="122">
        <f t="shared" ref="AM115:AM146" si="104">(1344936/W115)/33</f>
        <v>22.922180182022704</v>
      </c>
      <c r="AN115" s="127" t="s">
        <v>112</v>
      </c>
      <c r="AO115" s="127" t="s">
        <v>112</v>
      </c>
      <c r="AP115" s="114">
        <f t="shared" si="76"/>
        <v>1514.1931216130654</v>
      </c>
      <c r="AQ115" s="122">
        <f t="shared" ref="AQ115:AQ146" si="105">300/33</f>
        <v>9.0909090909090917</v>
      </c>
      <c r="AR115" s="114">
        <f t="shared" si="77"/>
        <v>2442.3154101766777</v>
      </c>
      <c r="AS115" s="122"/>
      <c r="AT115" s="59"/>
      <c r="AU115" s="59"/>
      <c r="AV115" s="59"/>
      <c r="AW115" s="59"/>
      <c r="AX115" s="59"/>
      <c r="AY115" s="59"/>
      <c r="AZ115" s="59"/>
      <c r="BA115" s="59"/>
      <c r="BB115" s="59"/>
      <c r="BC115" s="59"/>
      <c r="BD115" s="59"/>
      <c r="BE115" s="59"/>
      <c r="BF115" s="59"/>
      <c r="BG115" s="59"/>
      <c r="BH115" s="59"/>
      <c r="BI115" s="59"/>
      <c r="BJ115" s="59"/>
      <c r="BK115" s="59"/>
      <c r="BL115" s="59"/>
      <c r="BM115" s="59"/>
      <c r="BN115" s="59"/>
      <c r="BO115" s="59"/>
      <c r="BP115" s="59"/>
      <c r="BQ115" s="59"/>
      <c r="BR115" s="59"/>
      <c r="BS115" s="59"/>
      <c r="BT115" s="59"/>
      <c r="BU115" s="59"/>
      <c r="BV115" s="59"/>
    </row>
    <row r="116" spans="1:74" s="125" customFormat="1" ht="21.75" customHeight="1" x14ac:dyDescent="0.35">
      <c r="A116" s="105" t="s">
        <v>366</v>
      </c>
      <c r="B116" s="129" t="s">
        <v>151</v>
      </c>
      <c r="C116" s="140" t="s">
        <v>364</v>
      </c>
      <c r="D116" s="140" t="s">
        <v>361</v>
      </c>
      <c r="E116" s="105" t="s">
        <v>155</v>
      </c>
      <c r="F116" s="140" t="s">
        <v>397</v>
      </c>
      <c r="G116" s="140">
        <v>21110001</v>
      </c>
      <c r="H116" s="130" t="s">
        <v>185</v>
      </c>
      <c r="I116" s="145" t="s">
        <v>401</v>
      </c>
      <c r="J116" s="140" t="s">
        <v>222</v>
      </c>
      <c r="K116" s="140" t="s">
        <v>166</v>
      </c>
      <c r="L116" s="166">
        <v>1</v>
      </c>
      <c r="M116" s="166" t="s">
        <v>167</v>
      </c>
      <c r="N116" s="122"/>
      <c r="O116" s="122"/>
      <c r="P116" s="122"/>
      <c r="Q116" s="122"/>
      <c r="R116" s="122"/>
      <c r="S116" s="110"/>
      <c r="T116" s="142">
        <v>13900</v>
      </c>
      <c r="U116" s="142">
        <v>13900</v>
      </c>
      <c r="V116" s="142">
        <v>15306.04</v>
      </c>
      <c r="W116" s="110">
        <v>1778</v>
      </c>
      <c r="X116" s="127" t="s">
        <v>112</v>
      </c>
      <c r="Y116" s="83">
        <f t="shared" si="95"/>
        <v>1360706.9560000002</v>
      </c>
      <c r="Z116" s="111">
        <f t="shared" si="96"/>
        <v>544282.78240000003</v>
      </c>
      <c r="AA116" s="122">
        <f t="shared" si="97"/>
        <v>909.09090909090912</v>
      </c>
      <c r="AB116" s="122">
        <f t="shared" si="98"/>
        <v>606.06060606060601</v>
      </c>
      <c r="AC116" s="127" t="s">
        <v>112</v>
      </c>
      <c r="AD116" s="111">
        <f t="shared" si="58"/>
        <v>1906504.8899151515</v>
      </c>
      <c r="AE116" s="112">
        <f t="shared" si="99"/>
        <v>1073.3472411727034</v>
      </c>
      <c r="AF116" s="124">
        <f t="shared" si="100"/>
        <v>24.184476940382453</v>
      </c>
      <c r="AG116" s="124">
        <f t="shared" si="101"/>
        <v>0.34086648259876601</v>
      </c>
      <c r="AH116" s="113">
        <f t="shared" si="102"/>
        <v>19.132550000000002</v>
      </c>
      <c r="AI116" s="112">
        <f t="shared" si="65"/>
        <v>86.085714285714303</v>
      </c>
      <c r="AJ116" s="122">
        <f t="shared" si="103"/>
        <v>1376.6666666666667</v>
      </c>
      <c r="AK116" s="127" t="s">
        <v>112</v>
      </c>
      <c r="AL116" s="127" t="s">
        <v>112</v>
      </c>
      <c r="AM116" s="122">
        <f t="shared" si="104"/>
        <v>22.922180182022704</v>
      </c>
      <c r="AN116" s="127" t="s">
        <v>112</v>
      </c>
      <c r="AO116" s="127" t="s">
        <v>112</v>
      </c>
      <c r="AP116" s="114">
        <f t="shared" si="76"/>
        <v>1529.3324545573848</v>
      </c>
      <c r="AQ116" s="122">
        <f t="shared" si="105"/>
        <v>9.0909090909090917</v>
      </c>
      <c r="AR116" s="114">
        <f t="shared" si="77"/>
        <v>2611.7706048209975</v>
      </c>
      <c r="AS116" s="122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  <c r="BE116" s="59"/>
      <c r="BF116" s="59"/>
      <c r="BG116" s="59"/>
      <c r="BH116" s="59"/>
      <c r="BI116" s="59"/>
      <c r="BJ116" s="59"/>
      <c r="BK116" s="59"/>
      <c r="BL116" s="59"/>
      <c r="BM116" s="59"/>
      <c r="BN116" s="59"/>
      <c r="BO116" s="59"/>
      <c r="BP116" s="59"/>
      <c r="BQ116" s="59"/>
      <c r="BR116" s="59"/>
      <c r="BS116" s="59"/>
      <c r="BT116" s="59"/>
      <c r="BU116" s="59"/>
      <c r="BV116" s="59"/>
    </row>
    <row r="117" spans="1:74" s="125" customFormat="1" ht="21.75" customHeight="1" x14ac:dyDescent="0.35">
      <c r="A117" s="105" t="s">
        <v>367</v>
      </c>
      <c r="B117" s="129" t="s">
        <v>151</v>
      </c>
      <c r="C117" s="140" t="s">
        <v>364</v>
      </c>
      <c r="D117" s="140" t="s">
        <v>362</v>
      </c>
      <c r="E117" s="105" t="s">
        <v>155</v>
      </c>
      <c r="F117" s="140" t="s">
        <v>398</v>
      </c>
      <c r="G117" s="140">
        <v>21110002</v>
      </c>
      <c r="H117" s="130" t="s">
        <v>186</v>
      </c>
      <c r="I117" s="127" t="s">
        <v>161</v>
      </c>
      <c r="J117" s="140" t="s">
        <v>222</v>
      </c>
      <c r="K117" s="140" t="s">
        <v>166</v>
      </c>
      <c r="L117" s="166">
        <v>1</v>
      </c>
      <c r="M117" s="166" t="s">
        <v>167</v>
      </c>
      <c r="N117" s="122"/>
      <c r="O117" s="122"/>
      <c r="P117" s="122"/>
      <c r="Q117" s="122"/>
      <c r="R117" s="122"/>
      <c r="S117" s="110"/>
      <c r="T117" s="142">
        <v>153</v>
      </c>
      <c r="U117" s="142">
        <v>153</v>
      </c>
      <c r="V117" s="142">
        <f t="shared" ref="V117" si="106">5054.29/30</f>
        <v>168.47633333333334</v>
      </c>
      <c r="W117" s="110">
        <v>1778</v>
      </c>
      <c r="X117" s="127" t="s">
        <v>112</v>
      </c>
      <c r="Y117" s="83">
        <f t="shared" si="95"/>
        <v>14977.546033333336</v>
      </c>
      <c r="Z117" s="111">
        <f t="shared" si="96"/>
        <v>5991.0184133333332</v>
      </c>
      <c r="AA117" s="122">
        <f t="shared" si="97"/>
        <v>909.09090909090912</v>
      </c>
      <c r="AB117" s="122">
        <f t="shared" si="98"/>
        <v>606.06060606060601</v>
      </c>
      <c r="AC117" s="127" t="s">
        <v>112</v>
      </c>
      <c r="AD117" s="111">
        <f t="shared" si="58"/>
        <v>22483.715961818183</v>
      </c>
      <c r="AE117" s="112">
        <f t="shared" si="99"/>
        <v>12.658155049370079</v>
      </c>
      <c r="AF117" s="124">
        <f>(89000/W117)/30</f>
        <v>1.66854143232096</v>
      </c>
      <c r="AG117" s="124">
        <f t="shared" si="101"/>
        <v>0.34086648259876601</v>
      </c>
      <c r="AH117" s="113">
        <f t="shared" si="102"/>
        <v>0.21059541666666667</v>
      </c>
      <c r="AI117" s="112">
        <f t="shared" si="65"/>
        <v>0.9475609298837645</v>
      </c>
      <c r="AJ117" s="127" t="s">
        <v>112</v>
      </c>
      <c r="AK117" s="122">
        <f>87.13/30</f>
        <v>2.9043333333333332</v>
      </c>
      <c r="AL117" s="127" t="s">
        <v>112</v>
      </c>
      <c r="AM117" s="122">
        <f t="shared" si="104"/>
        <v>22.922180182022704</v>
      </c>
      <c r="AN117" s="127" t="s">
        <v>112</v>
      </c>
      <c r="AO117" s="127" t="s">
        <v>112</v>
      </c>
      <c r="AP117" s="114">
        <f t="shared" si="76"/>
        <v>28.994077776826195</v>
      </c>
      <c r="AQ117" s="122">
        <f t="shared" si="105"/>
        <v>9.0909090909090917</v>
      </c>
      <c r="AR117" s="114">
        <f t="shared" si="77"/>
        <v>50.743141917105369</v>
      </c>
      <c r="AS117" s="122"/>
      <c r="AT117" s="59"/>
      <c r="AU117" s="59"/>
      <c r="AV117" s="59"/>
      <c r="AW117" s="59"/>
      <c r="AX117" s="59"/>
      <c r="AY117" s="59"/>
      <c r="AZ117" s="59"/>
      <c r="BA117" s="59"/>
      <c r="BB117" s="59"/>
      <c r="BC117" s="59"/>
      <c r="BD117" s="59"/>
      <c r="BE117" s="59"/>
      <c r="BF117" s="59"/>
      <c r="BG117" s="59"/>
      <c r="BH117" s="59"/>
      <c r="BI117" s="59"/>
      <c r="BJ117" s="59"/>
      <c r="BK117" s="59"/>
      <c r="BL117" s="59"/>
      <c r="BM117" s="59"/>
      <c r="BN117" s="59"/>
      <c r="BO117" s="59"/>
      <c r="BP117" s="59"/>
      <c r="BQ117" s="59"/>
      <c r="BR117" s="59"/>
      <c r="BS117" s="59"/>
      <c r="BT117" s="59"/>
      <c r="BU117" s="59"/>
      <c r="BV117" s="59"/>
    </row>
    <row r="118" spans="1:74" s="125" customFormat="1" ht="21.75" customHeight="1" x14ac:dyDescent="0.35">
      <c r="A118" s="105" t="s">
        <v>368</v>
      </c>
      <c r="B118" s="129" t="s">
        <v>151</v>
      </c>
      <c r="C118" s="140" t="s">
        <v>364</v>
      </c>
      <c r="D118" s="140" t="s">
        <v>362</v>
      </c>
      <c r="E118" s="105" t="s">
        <v>155</v>
      </c>
      <c r="F118" s="140" t="s">
        <v>398</v>
      </c>
      <c r="G118" s="140">
        <v>21110002</v>
      </c>
      <c r="H118" s="130" t="s">
        <v>186</v>
      </c>
      <c r="I118" s="127" t="s">
        <v>161</v>
      </c>
      <c r="J118" s="140" t="s">
        <v>222</v>
      </c>
      <c r="K118" s="140" t="s">
        <v>166</v>
      </c>
      <c r="L118" s="166">
        <v>1</v>
      </c>
      <c r="M118" s="166" t="s">
        <v>167</v>
      </c>
      <c r="N118" s="122"/>
      <c r="O118" s="122"/>
      <c r="P118" s="122"/>
      <c r="Q118" s="122"/>
      <c r="R118" s="122"/>
      <c r="S118" s="110"/>
      <c r="T118" s="142">
        <v>153</v>
      </c>
      <c r="U118" s="142">
        <v>153</v>
      </c>
      <c r="V118" s="142">
        <f t="shared" ref="V118:V146" si="107">5054.29/30</f>
        <v>168.47633333333334</v>
      </c>
      <c r="W118" s="110">
        <v>1778</v>
      </c>
      <c r="X118" s="127" t="s">
        <v>112</v>
      </c>
      <c r="Y118" s="83">
        <f t="shared" si="95"/>
        <v>14977.546033333336</v>
      </c>
      <c r="Z118" s="111">
        <f t="shared" si="96"/>
        <v>5991.0184133333332</v>
      </c>
      <c r="AA118" s="122">
        <f t="shared" si="97"/>
        <v>909.09090909090912</v>
      </c>
      <c r="AB118" s="122">
        <f t="shared" si="98"/>
        <v>606.06060606060601</v>
      </c>
      <c r="AC118" s="127" t="s">
        <v>112</v>
      </c>
      <c r="AD118" s="111">
        <f t="shared" si="58"/>
        <v>22483.715961818183</v>
      </c>
      <c r="AE118" s="112">
        <f t="shared" si="99"/>
        <v>12.658155049370079</v>
      </c>
      <c r="AF118" s="124">
        <f t="shared" ref="AF118:AF146" si="108">(89000/W118)/30</f>
        <v>1.66854143232096</v>
      </c>
      <c r="AG118" s="124">
        <f t="shared" si="101"/>
        <v>0.34086648259876601</v>
      </c>
      <c r="AH118" s="113">
        <f t="shared" si="102"/>
        <v>0.21059541666666667</v>
      </c>
      <c r="AI118" s="112">
        <f t="shared" si="65"/>
        <v>0.9475609298837645</v>
      </c>
      <c r="AJ118" s="127" t="s">
        <v>112</v>
      </c>
      <c r="AK118" s="122">
        <f t="shared" ref="AK118:AK146" si="109">87.13/30</f>
        <v>2.9043333333333332</v>
      </c>
      <c r="AL118" s="127" t="s">
        <v>112</v>
      </c>
      <c r="AM118" s="122">
        <f t="shared" si="104"/>
        <v>22.922180182022704</v>
      </c>
      <c r="AN118" s="127" t="s">
        <v>112</v>
      </c>
      <c r="AO118" s="127" t="s">
        <v>112</v>
      </c>
      <c r="AP118" s="114">
        <f t="shared" si="76"/>
        <v>28.994077776826195</v>
      </c>
      <c r="AQ118" s="122">
        <f t="shared" si="105"/>
        <v>9.0909090909090917</v>
      </c>
      <c r="AR118" s="114">
        <f t="shared" si="77"/>
        <v>50.743141917105369</v>
      </c>
      <c r="AS118" s="122"/>
      <c r="AT118" s="59"/>
      <c r="AU118" s="59"/>
      <c r="AV118" s="59"/>
      <c r="AW118" s="59"/>
      <c r="AX118" s="59"/>
      <c r="AY118" s="59"/>
      <c r="AZ118" s="59"/>
      <c r="BA118" s="59"/>
      <c r="BB118" s="59"/>
      <c r="BC118" s="59"/>
      <c r="BD118" s="59"/>
      <c r="BE118" s="59"/>
      <c r="BF118" s="59"/>
      <c r="BG118" s="59"/>
      <c r="BH118" s="59"/>
      <c r="BI118" s="59"/>
      <c r="BJ118" s="59"/>
      <c r="BK118" s="59"/>
      <c r="BL118" s="59"/>
      <c r="BM118" s="59"/>
      <c r="BN118" s="59"/>
      <c r="BO118" s="59"/>
      <c r="BP118" s="59"/>
      <c r="BQ118" s="59"/>
      <c r="BR118" s="59"/>
      <c r="BS118" s="59"/>
      <c r="BT118" s="59"/>
      <c r="BU118" s="59"/>
      <c r="BV118" s="59"/>
    </row>
    <row r="119" spans="1:74" s="125" customFormat="1" ht="21.75" customHeight="1" x14ac:dyDescent="0.35">
      <c r="A119" s="105" t="s">
        <v>369</v>
      </c>
      <c r="B119" s="129" t="s">
        <v>151</v>
      </c>
      <c r="C119" s="140" t="s">
        <v>364</v>
      </c>
      <c r="D119" s="140" t="s">
        <v>362</v>
      </c>
      <c r="E119" s="105" t="s">
        <v>155</v>
      </c>
      <c r="F119" s="140" t="s">
        <v>398</v>
      </c>
      <c r="G119" s="140">
        <v>21110002</v>
      </c>
      <c r="H119" s="130" t="s">
        <v>186</v>
      </c>
      <c r="I119" s="127" t="s">
        <v>161</v>
      </c>
      <c r="J119" s="140" t="s">
        <v>222</v>
      </c>
      <c r="K119" s="140" t="s">
        <v>166</v>
      </c>
      <c r="L119" s="166">
        <v>1</v>
      </c>
      <c r="M119" s="166" t="s">
        <v>167</v>
      </c>
      <c r="N119" s="122"/>
      <c r="O119" s="122"/>
      <c r="P119" s="122"/>
      <c r="Q119" s="122"/>
      <c r="R119" s="122"/>
      <c r="S119" s="110"/>
      <c r="T119" s="142">
        <v>153</v>
      </c>
      <c r="U119" s="142">
        <v>153</v>
      </c>
      <c r="V119" s="142">
        <f t="shared" si="107"/>
        <v>168.47633333333334</v>
      </c>
      <c r="W119" s="110">
        <v>1778</v>
      </c>
      <c r="X119" s="127" t="s">
        <v>112</v>
      </c>
      <c r="Y119" s="83">
        <f t="shared" si="95"/>
        <v>14977.546033333336</v>
      </c>
      <c r="Z119" s="111">
        <f t="shared" si="96"/>
        <v>5991.0184133333332</v>
      </c>
      <c r="AA119" s="122">
        <f t="shared" si="97"/>
        <v>909.09090909090912</v>
      </c>
      <c r="AB119" s="122">
        <f t="shared" si="98"/>
        <v>606.06060606060601</v>
      </c>
      <c r="AC119" s="127" t="s">
        <v>112</v>
      </c>
      <c r="AD119" s="111">
        <f t="shared" si="58"/>
        <v>22483.715961818183</v>
      </c>
      <c r="AE119" s="112">
        <f t="shared" si="99"/>
        <v>12.658155049370079</v>
      </c>
      <c r="AF119" s="124">
        <f t="shared" si="108"/>
        <v>1.66854143232096</v>
      </c>
      <c r="AG119" s="124">
        <f t="shared" si="101"/>
        <v>0.34086648259876601</v>
      </c>
      <c r="AH119" s="113">
        <f t="shared" si="102"/>
        <v>0.21059541666666667</v>
      </c>
      <c r="AI119" s="112">
        <f t="shared" si="65"/>
        <v>0.9475609298837645</v>
      </c>
      <c r="AJ119" s="127" t="s">
        <v>112</v>
      </c>
      <c r="AK119" s="122">
        <f t="shared" si="109"/>
        <v>2.9043333333333332</v>
      </c>
      <c r="AL119" s="127" t="s">
        <v>112</v>
      </c>
      <c r="AM119" s="122">
        <f t="shared" si="104"/>
        <v>22.922180182022704</v>
      </c>
      <c r="AN119" s="127" t="s">
        <v>112</v>
      </c>
      <c r="AO119" s="127" t="s">
        <v>112</v>
      </c>
      <c r="AP119" s="114">
        <f t="shared" si="76"/>
        <v>28.994077776826195</v>
      </c>
      <c r="AQ119" s="122">
        <f t="shared" si="105"/>
        <v>9.0909090909090917</v>
      </c>
      <c r="AR119" s="114">
        <f t="shared" si="77"/>
        <v>50.743141917105369</v>
      </c>
      <c r="AS119" s="122"/>
      <c r="AT119" s="59"/>
      <c r="AU119" s="59"/>
      <c r="AV119" s="59"/>
      <c r="AW119" s="59"/>
      <c r="AX119" s="59"/>
      <c r="AY119" s="59"/>
      <c r="AZ119" s="59"/>
      <c r="BA119" s="59"/>
      <c r="BB119" s="59"/>
      <c r="BC119" s="59"/>
      <c r="BD119" s="59"/>
      <c r="BE119" s="59"/>
      <c r="BF119" s="59"/>
      <c r="BG119" s="59"/>
      <c r="BH119" s="59"/>
      <c r="BI119" s="59"/>
      <c r="BJ119" s="59"/>
      <c r="BK119" s="59"/>
      <c r="BL119" s="59"/>
      <c r="BM119" s="59"/>
      <c r="BN119" s="59"/>
      <c r="BO119" s="59"/>
      <c r="BP119" s="59"/>
      <c r="BQ119" s="59"/>
      <c r="BR119" s="59"/>
      <c r="BS119" s="59"/>
      <c r="BT119" s="59"/>
      <c r="BU119" s="59"/>
      <c r="BV119" s="59"/>
    </row>
    <row r="120" spans="1:74" s="125" customFormat="1" ht="21.75" customHeight="1" x14ac:dyDescent="0.35">
      <c r="A120" s="105" t="s">
        <v>370</v>
      </c>
      <c r="B120" s="129" t="s">
        <v>151</v>
      </c>
      <c r="C120" s="140" t="s">
        <v>364</v>
      </c>
      <c r="D120" s="140" t="s">
        <v>362</v>
      </c>
      <c r="E120" s="105" t="s">
        <v>155</v>
      </c>
      <c r="F120" s="140" t="s">
        <v>398</v>
      </c>
      <c r="G120" s="140">
        <v>21110002</v>
      </c>
      <c r="H120" s="130" t="s">
        <v>186</v>
      </c>
      <c r="I120" s="127" t="s">
        <v>161</v>
      </c>
      <c r="J120" s="140" t="s">
        <v>222</v>
      </c>
      <c r="K120" s="140" t="s">
        <v>166</v>
      </c>
      <c r="L120" s="166">
        <v>1</v>
      </c>
      <c r="M120" s="166" t="s">
        <v>167</v>
      </c>
      <c r="N120" s="122"/>
      <c r="O120" s="122"/>
      <c r="P120" s="122"/>
      <c r="Q120" s="122"/>
      <c r="R120" s="122"/>
      <c r="S120" s="110"/>
      <c r="T120" s="142">
        <v>153</v>
      </c>
      <c r="U120" s="142">
        <v>153</v>
      </c>
      <c r="V120" s="142">
        <f t="shared" si="107"/>
        <v>168.47633333333334</v>
      </c>
      <c r="W120" s="110">
        <v>1778</v>
      </c>
      <c r="X120" s="127" t="s">
        <v>112</v>
      </c>
      <c r="Y120" s="83">
        <f t="shared" si="95"/>
        <v>14977.546033333336</v>
      </c>
      <c r="Z120" s="111">
        <f t="shared" si="96"/>
        <v>5991.0184133333332</v>
      </c>
      <c r="AA120" s="122">
        <f t="shared" si="97"/>
        <v>909.09090909090912</v>
      </c>
      <c r="AB120" s="122">
        <f t="shared" si="98"/>
        <v>606.06060606060601</v>
      </c>
      <c r="AC120" s="127" t="s">
        <v>112</v>
      </c>
      <c r="AD120" s="111">
        <f t="shared" si="58"/>
        <v>22483.715961818183</v>
      </c>
      <c r="AE120" s="112">
        <f t="shared" si="99"/>
        <v>12.658155049370079</v>
      </c>
      <c r="AF120" s="124">
        <f t="shared" si="108"/>
        <v>1.66854143232096</v>
      </c>
      <c r="AG120" s="124">
        <f t="shared" si="101"/>
        <v>0.34086648259876601</v>
      </c>
      <c r="AH120" s="113">
        <f t="shared" si="102"/>
        <v>0.21059541666666667</v>
      </c>
      <c r="AI120" s="112">
        <f t="shared" si="65"/>
        <v>0.9475609298837645</v>
      </c>
      <c r="AJ120" s="127" t="s">
        <v>112</v>
      </c>
      <c r="AK120" s="122">
        <f t="shared" si="109"/>
        <v>2.9043333333333332</v>
      </c>
      <c r="AL120" s="127" t="s">
        <v>112</v>
      </c>
      <c r="AM120" s="122">
        <f t="shared" si="104"/>
        <v>22.922180182022704</v>
      </c>
      <c r="AN120" s="127" t="s">
        <v>112</v>
      </c>
      <c r="AO120" s="127" t="s">
        <v>112</v>
      </c>
      <c r="AP120" s="114">
        <f t="shared" si="76"/>
        <v>28.994077776826195</v>
      </c>
      <c r="AQ120" s="122">
        <f t="shared" si="105"/>
        <v>9.0909090909090917</v>
      </c>
      <c r="AR120" s="114">
        <f t="shared" si="77"/>
        <v>50.743141917105369</v>
      </c>
      <c r="AS120" s="122"/>
      <c r="AT120" s="59"/>
      <c r="AU120" s="59"/>
      <c r="AV120" s="59"/>
      <c r="AW120" s="59"/>
      <c r="AX120" s="59"/>
      <c r="AY120" s="59"/>
      <c r="AZ120" s="59"/>
      <c r="BA120" s="59"/>
      <c r="BB120" s="59"/>
      <c r="BC120" s="59"/>
      <c r="BD120" s="59"/>
      <c r="BE120" s="59"/>
      <c r="BF120" s="59"/>
      <c r="BG120" s="59"/>
      <c r="BH120" s="59"/>
      <c r="BI120" s="59"/>
      <c r="BJ120" s="59"/>
      <c r="BK120" s="59"/>
      <c r="BL120" s="59"/>
      <c r="BM120" s="59"/>
      <c r="BN120" s="59"/>
      <c r="BO120" s="59"/>
      <c r="BP120" s="59"/>
      <c r="BQ120" s="59"/>
      <c r="BR120" s="59"/>
      <c r="BS120" s="59"/>
      <c r="BT120" s="59"/>
      <c r="BU120" s="59"/>
      <c r="BV120" s="59"/>
    </row>
    <row r="121" spans="1:74" s="125" customFormat="1" ht="21.75" customHeight="1" x14ac:dyDescent="0.35">
      <c r="A121" s="105" t="s">
        <v>371</v>
      </c>
      <c r="B121" s="129" t="s">
        <v>151</v>
      </c>
      <c r="C121" s="140" t="s">
        <v>364</v>
      </c>
      <c r="D121" s="140" t="s">
        <v>362</v>
      </c>
      <c r="E121" s="105" t="s">
        <v>155</v>
      </c>
      <c r="F121" s="140" t="s">
        <v>398</v>
      </c>
      <c r="G121" s="140">
        <v>21110002</v>
      </c>
      <c r="H121" s="130" t="s">
        <v>186</v>
      </c>
      <c r="I121" s="127" t="s">
        <v>161</v>
      </c>
      <c r="J121" s="140" t="s">
        <v>222</v>
      </c>
      <c r="K121" s="140" t="s">
        <v>166</v>
      </c>
      <c r="L121" s="166">
        <v>1</v>
      </c>
      <c r="M121" s="166" t="s">
        <v>167</v>
      </c>
      <c r="N121" s="122"/>
      <c r="O121" s="122"/>
      <c r="P121" s="122"/>
      <c r="Q121" s="122"/>
      <c r="R121" s="122"/>
      <c r="S121" s="110"/>
      <c r="T121" s="142">
        <v>153</v>
      </c>
      <c r="U121" s="142">
        <v>153</v>
      </c>
      <c r="V121" s="142">
        <f t="shared" si="107"/>
        <v>168.47633333333334</v>
      </c>
      <c r="W121" s="110">
        <v>1778</v>
      </c>
      <c r="X121" s="127" t="s">
        <v>112</v>
      </c>
      <c r="Y121" s="83">
        <f t="shared" si="95"/>
        <v>14977.546033333336</v>
      </c>
      <c r="Z121" s="111">
        <f t="shared" si="96"/>
        <v>5991.0184133333332</v>
      </c>
      <c r="AA121" s="122">
        <f t="shared" si="97"/>
        <v>909.09090909090912</v>
      </c>
      <c r="AB121" s="122">
        <f t="shared" si="98"/>
        <v>606.06060606060601</v>
      </c>
      <c r="AC121" s="127" t="s">
        <v>112</v>
      </c>
      <c r="AD121" s="111">
        <f t="shared" si="58"/>
        <v>22483.715961818183</v>
      </c>
      <c r="AE121" s="112">
        <f t="shared" si="99"/>
        <v>12.658155049370079</v>
      </c>
      <c r="AF121" s="124">
        <f t="shared" si="108"/>
        <v>1.66854143232096</v>
      </c>
      <c r="AG121" s="124">
        <f t="shared" si="101"/>
        <v>0.34086648259876601</v>
      </c>
      <c r="AH121" s="113">
        <f t="shared" si="102"/>
        <v>0.21059541666666667</v>
      </c>
      <c r="AI121" s="112">
        <f t="shared" si="65"/>
        <v>0.9475609298837645</v>
      </c>
      <c r="AJ121" s="127" t="s">
        <v>112</v>
      </c>
      <c r="AK121" s="122">
        <f t="shared" si="109"/>
        <v>2.9043333333333332</v>
      </c>
      <c r="AL121" s="127" t="s">
        <v>112</v>
      </c>
      <c r="AM121" s="122">
        <f t="shared" si="104"/>
        <v>22.922180182022704</v>
      </c>
      <c r="AN121" s="127" t="s">
        <v>112</v>
      </c>
      <c r="AO121" s="127" t="s">
        <v>112</v>
      </c>
      <c r="AP121" s="114">
        <f t="shared" si="76"/>
        <v>28.994077776826195</v>
      </c>
      <c r="AQ121" s="122">
        <f t="shared" si="105"/>
        <v>9.0909090909090917</v>
      </c>
      <c r="AR121" s="114">
        <f t="shared" si="77"/>
        <v>50.743141917105369</v>
      </c>
      <c r="AS121" s="122"/>
      <c r="AT121" s="59"/>
      <c r="AU121" s="59"/>
      <c r="AV121" s="59"/>
      <c r="AW121" s="59"/>
      <c r="AX121" s="59"/>
      <c r="AY121" s="59"/>
      <c r="AZ121" s="59"/>
      <c r="BA121" s="59"/>
      <c r="BB121" s="59"/>
      <c r="BC121" s="59"/>
      <c r="BD121" s="59"/>
      <c r="BE121" s="59"/>
      <c r="BF121" s="59"/>
      <c r="BG121" s="59"/>
      <c r="BH121" s="59"/>
      <c r="BI121" s="59"/>
      <c r="BJ121" s="59"/>
      <c r="BK121" s="59"/>
      <c r="BL121" s="59"/>
      <c r="BM121" s="59"/>
      <c r="BN121" s="59"/>
      <c r="BO121" s="59"/>
      <c r="BP121" s="59"/>
      <c r="BQ121" s="59"/>
      <c r="BR121" s="59"/>
      <c r="BS121" s="59"/>
      <c r="BT121" s="59"/>
      <c r="BU121" s="59"/>
      <c r="BV121" s="59"/>
    </row>
    <row r="122" spans="1:74" s="125" customFormat="1" ht="21.75" customHeight="1" x14ac:dyDescent="0.35">
      <c r="A122" s="105" t="s">
        <v>372</v>
      </c>
      <c r="B122" s="129" t="s">
        <v>151</v>
      </c>
      <c r="C122" s="140" t="s">
        <v>364</v>
      </c>
      <c r="D122" s="140" t="s">
        <v>362</v>
      </c>
      <c r="E122" s="105" t="s">
        <v>155</v>
      </c>
      <c r="F122" s="140" t="s">
        <v>398</v>
      </c>
      <c r="G122" s="140">
        <v>21110002</v>
      </c>
      <c r="H122" s="130" t="s">
        <v>186</v>
      </c>
      <c r="I122" s="127" t="s">
        <v>161</v>
      </c>
      <c r="J122" s="140" t="s">
        <v>222</v>
      </c>
      <c r="K122" s="140" t="s">
        <v>166</v>
      </c>
      <c r="L122" s="166">
        <v>1</v>
      </c>
      <c r="M122" s="166" t="s">
        <v>167</v>
      </c>
      <c r="N122" s="122"/>
      <c r="O122" s="122"/>
      <c r="P122" s="122"/>
      <c r="Q122" s="122"/>
      <c r="R122" s="122"/>
      <c r="S122" s="110"/>
      <c r="T122" s="142">
        <v>153</v>
      </c>
      <c r="U122" s="142">
        <v>153</v>
      </c>
      <c r="V122" s="142">
        <f t="shared" si="107"/>
        <v>168.47633333333334</v>
      </c>
      <c r="W122" s="110">
        <v>1778</v>
      </c>
      <c r="X122" s="127" t="s">
        <v>112</v>
      </c>
      <c r="Y122" s="83">
        <f t="shared" si="95"/>
        <v>14977.546033333336</v>
      </c>
      <c r="Z122" s="111">
        <f t="shared" si="96"/>
        <v>5991.0184133333332</v>
      </c>
      <c r="AA122" s="122">
        <f t="shared" si="97"/>
        <v>909.09090909090912</v>
      </c>
      <c r="AB122" s="122">
        <f t="shared" si="98"/>
        <v>606.06060606060601</v>
      </c>
      <c r="AC122" s="127" t="s">
        <v>112</v>
      </c>
      <c r="AD122" s="111">
        <f t="shared" si="58"/>
        <v>22483.715961818183</v>
      </c>
      <c r="AE122" s="112">
        <f t="shared" si="99"/>
        <v>12.658155049370079</v>
      </c>
      <c r="AF122" s="124">
        <f t="shared" si="108"/>
        <v>1.66854143232096</v>
      </c>
      <c r="AG122" s="124">
        <f t="shared" si="101"/>
        <v>0.34086648259876601</v>
      </c>
      <c r="AH122" s="113">
        <f t="shared" si="102"/>
        <v>0.21059541666666667</v>
      </c>
      <c r="AI122" s="112">
        <f t="shared" si="65"/>
        <v>0.9475609298837645</v>
      </c>
      <c r="AJ122" s="127" t="s">
        <v>112</v>
      </c>
      <c r="AK122" s="122">
        <f t="shared" si="109"/>
        <v>2.9043333333333332</v>
      </c>
      <c r="AL122" s="127" t="s">
        <v>112</v>
      </c>
      <c r="AM122" s="122">
        <f t="shared" si="104"/>
        <v>22.922180182022704</v>
      </c>
      <c r="AN122" s="127" t="s">
        <v>112</v>
      </c>
      <c r="AO122" s="127" t="s">
        <v>112</v>
      </c>
      <c r="AP122" s="114">
        <f t="shared" si="76"/>
        <v>28.994077776826195</v>
      </c>
      <c r="AQ122" s="122">
        <f t="shared" si="105"/>
        <v>9.0909090909090917</v>
      </c>
      <c r="AR122" s="114">
        <f t="shared" si="77"/>
        <v>50.743141917105369</v>
      </c>
      <c r="AS122" s="122"/>
      <c r="AT122" s="59"/>
      <c r="AU122" s="59"/>
      <c r="AV122" s="59"/>
      <c r="AW122" s="59"/>
      <c r="AX122" s="59"/>
      <c r="AY122" s="59"/>
      <c r="AZ122" s="59"/>
      <c r="BA122" s="59"/>
      <c r="BB122" s="59"/>
      <c r="BC122" s="59"/>
      <c r="BD122" s="59"/>
      <c r="BE122" s="59"/>
      <c r="BF122" s="59"/>
      <c r="BG122" s="59"/>
      <c r="BH122" s="59"/>
      <c r="BI122" s="59"/>
      <c r="BJ122" s="59"/>
      <c r="BK122" s="59"/>
      <c r="BL122" s="59"/>
      <c r="BM122" s="59"/>
      <c r="BN122" s="59"/>
      <c r="BO122" s="59"/>
      <c r="BP122" s="59"/>
      <c r="BQ122" s="59"/>
      <c r="BR122" s="59"/>
      <c r="BS122" s="59"/>
      <c r="BT122" s="59"/>
      <c r="BU122" s="59"/>
      <c r="BV122" s="59"/>
    </row>
    <row r="123" spans="1:74" s="125" customFormat="1" ht="21.75" customHeight="1" x14ac:dyDescent="0.35">
      <c r="A123" s="105" t="s">
        <v>373</v>
      </c>
      <c r="B123" s="129" t="s">
        <v>151</v>
      </c>
      <c r="C123" s="140" t="s">
        <v>364</v>
      </c>
      <c r="D123" s="140" t="s">
        <v>362</v>
      </c>
      <c r="E123" s="105" t="s">
        <v>155</v>
      </c>
      <c r="F123" s="140" t="s">
        <v>398</v>
      </c>
      <c r="G123" s="140">
        <v>21110002</v>
      </c>
      <c r="H123" s="130" t="s">
        <v>186</v>
      </c>
      <c r="I123" s="127" t="s">
        <v>161</v>
      </c>
      <c r="J123" s="140" t="s">
        <v>222</v>
      </c>
      <c r="K123" s="140" t="s">
        <v>166</v>
      </c>
      <c r="L123" s="166">
        <v>1</v>
      </c>
      <c r="M123" s="166" t="s">
        <v>167</v>
      </c>
      <c r="N123" s="122"/>
      <c r="O123" s="122"/>
      <c r="P123" s="122"/>
      <c r="Q123" s="122"/>
      <c r="R123" s="122"/>
      <c r="S123" s="110"/>
      <c r="T123" s="142">
        <v>153</v>
      </c>
      <c r="U123" s="142">
        <v>153</v>
      </c>
      <c r="V123" s="142">
        <f t="shared" si="107"/>
        <v>168.47633333333334</v>
      </c>
      <c r="W123" s="110">
        <v>1778</v>
      </c>
      <c r="X123" s="127" t="s">
        <v>112</v>
      </c>
      <c r="Y123" s="83">
        <f t="shared" si="95"/>
        <v>14977.546033333336</v>
      </c>
      <c r="Z123" s="111">
        <f t="shared" si="96"/>
        <v>5991.0184133333332</v>
      </c>
      <c r="AA123" s="122">
        <f t="shared" si="97"/>
        <v>909.09090909090912</v>
      </c>
      <c r="AB123" s="122">
        <f t="shared" si="98"/>
        <v>606.06060606060601</v>
      </c>
      <c r="AC123" s="127" t="s">
        <v>112</v>
      </c>
      <c r="AD123" s="111">
        <f t="shared" si="58"/>
        <v>22483.715961818183</v>
      </c>
      <c r="AE123" s="112">
        <f t="shared" si="99"/>
        <v>12.658155049370079</v>
      </c>
      <c r="AF123" s="124">
        <f t="shared" si="108"/>
        <v>1.66854143232096</v>
      </c>
      <c r="AG123" s="124">
        <f t="shared" si="101"/>
        <v>0.34086648259876601</v>
      </c>
      <c r="AH123" s="113">
        <f t="shared" si="102"/>
        <v>0.21059541666666667</v>
      </c>
      <c r="AI123" s="112">
        <f t="shared" si="65"/>
        <v>0.9475609298837645</v>
      </c>
      <c r="AJ123" s="127" t="s">
        <v>112</v>
      </c>
      <c r="AK123" s="122">
        <f t="shared" si="109"/>
        <v>2.9043333333333332</v>
      </c>
      <c r="AL123" s="127" t="s">
        <v>112</v>
      </c>
      <c r="AM123" s="122">
        <f t="shared" si="104"/>
        <v>22.922180182022704</v>
      </c>
      <c r="AN123" s="127" t="s">
        <v>112</v>
      </c>
      <c r="AO123" s="127" t="s">
        <v>112</v>
      </c>
      <c r="AP123" s="114">
        <f t="shared" si="76"/>
        <v>28.994077776826195</v>
      </c>
      <c r="AQ123" s="122">
        <f t="shared" si="105"/>
        <v>9.0909090909090917</v>
      </c>
      <c r="AR123" s="114">
        <f t="shared" si="77"/>
        <v>50.743141917105369</v>
      </c>
      <c r="AS123" s="122"/>
      <c r="AT123" s="59"/>
      <c r="AU123" s="59"/>
      <c r="AV123" s="59"/>
      <c r="AW123" s="59"/>
      <c r="AX123" s="59"/>
      <c r="AY123" s="59"/>
      <c r="AZ123" s="59"/>
      <c r="BA123" s="59"/>
      <c r="BB123" s="59"/>
      <c r="BC123" s="59"/>
      <c r="BD123" s="59"/>
      <c r="BE123" s="59"/>
      <c r="BF123" s="59"/>
      <c r="BG123" s="59"/>
      <c r="BH123" s="59"/>
      <c r="BI123" s="59"/>
      <c r="BJ123" s="59"/>
      <c r="BK123" s="59"/>
      <c r="BL123" s="59"/>
      <c r="BM123" s="59"/>
      <c r="BN123" s="59"/>
      <c r="BO123" s="59"/>
      <c r="BP123" s="59"/>
      <c r="BQ123" s="59"/>
      <c r="BR123" s="59"/>
      <c r="BS123" s="59"/>
      <c r="BT123" s="59"/>
      <c r="BU123" s="59"/>
      <c r="BV123" s="59"/>
    </row>
    <row r="124" spans="1:74" s="125" customFormat="1" ht="21.75" customHeight="1" x14ac:dyDescent="0.35">
      <c r="A124" s="105" t="s">
        <v>374</v>
      </c>
      <c r="B124" s="129" t="s">
        <v>151</v>
      </c>
      <c r="C124" s="140" t="s">
        <v>364</v>
      </c>
      <c r="D124" s="140" t="s">
        <v>362</v>
      </c>
      <c r="E124" s="105" t="s">
        <v>155</v>
      </c>
      <c r="F124" s="140" t="s">
        <v>398</v>
      </c>
      <c r="G124" s="140">
        <v>21110002</v>
      </c>
      <c r="H124" s="130" t="s">
        <v>186</v>
      </c>
      <c r="I124" s="127" t="s">
        <v>161</v>
      </c>
      <c r="J124" s="140" t="s">
        <v>222</v>
      </c>
      <c r="K124" s="140" t="s">
        <v>166</v>
      </c>
      <c r="L124" s="166">
        <v>1</v>
      </c>
      <c r="M124" s="166" t="s">
        <v>167</v>
      </c>
      <c r="N124" s="122"/>
      <c r="O124" s="122"/>
      <c r="P124" s="122"/>
      <c r="Q124" s="122"/>
      <c r="R124" s="122"/>
      <c r="S124" s="110"/>
      <c r="T124" s="142">
        <v>153</v>
      </c>
      <c r="U124" s="142">
        <v>153</v>
      </c>
      <c r="V124" s="142">
        <f t="shared" si="107"/>
        <v>168.47633333333334</v>
      </c>
      <c r="W124" s="110">
        <v>1778</v>
      </c>
      <c r="X124" s="127" t="s">
        <v>112</v>
      </c>
      <c r="Y124" s="83">
        <f t="shared" si="95"/>
        <v>14977.546033333336</v>
      </c>
      <c r="Z124" s="111">
        <f t="shared" si="96"/>
        <v>5991.0184133333332</v>
      </c>
      <c r="AA124" s="122">
        <f t="shared" si="97"/>
        <v>909.09090909090912</v>
      </c>
      <c r="AB124" s="122">
        <f t="shared" si="98"/>
        <v>606.06060606060601</v>
      </c>
      <c r="AC124" s="127" t="s">
        <v>112</v>
      </c>
      <c r="AD124" s="111">
        <f t="shared" si="58"/>
        <v>22483.715961818183</v>
      </c>
      <c r="AE124" s="112">
        <f t="shared" si="99"/>
        <v>12.658155049370079</v>
      </c>
      <c r="AF124" s="124">
        <f t="shared" si="108"/>
        <v>1.66854143232096</v>
      </c>
      <c r="AG124" s="124">
        <f t="shared" si="101"/>
        <v>0.34086648259876601</v>
      </c>
      <c r="AH124" s="113">
        <f t="shared" si="102"/>
        <v>0.21059541666666667</v>
      </c>
      <c r="AI124" s="112">
        <f t="shared" si="65"/>
        <v>0.9475609298837645</v>
      </c>
      <c r="AJ124" s="127" t="s">
        <v>112</v>
      </c>
      <c r="AK124" s="122">
        <f t="shared" si="109"/>
        <v>2.9043333333333332</v>
      </c>
      <c r="AL124" s="127" t="s">
        <v>112</v>
      </c>
      <c r="AM124" s="122">
        <f t="shared" si="104"/>
        <v>22.922180182022704</v>
      </c>
      <c r="AN124" s="127" t="s">
        <v>112</v>
      </c>
      <c r="AO124" s="127" t="s">
        <v>112</v>
      </c>
      <c r="AP124" s="114">
        <f t="shared" si="76"/>
        <v>28.994077776826195</v>
      </c>
      <c r="AQ124" s="122">
        <f t="shared" si="105"/>
        <v>9.0909090909090917</v>
      </c>
      <c r="AR124" s="114">
        <f t="shared" si="77"/>
        <v>50.743141917105369</v>
      </c>
      <c r="AS124" s="122"/>
      <c r="AT124" s="59"/>
      <c r="AU124" s="59"/>
      <c r="AV124" s="59"/>
      <c r="AW124" s="59"/>
      <c r="AX124" s="59"/>
      <c r="AY124" s="59"/>
      <c r="AZ124" s="59"/>
      <c r="BA124" s="59"/>
      <c r="BB124" s="59"/>
      <c r="BC124" s="59"/>
      <c r="BD124" s="59"/>
      <c r="BE124" s="59"/>
      <c r="BF124" s="59"/>
      <c r="BG124" s="59"/>
      <c r="BH124" s="59"/>
      <c r="BI124" s="59"/>
      <c r="BJ124" s="59"/>
      <c r="BK124" s="59"/>
      <c r="BL124" s="59"/>
      <c r="BM124" s="59"/>
      <c r="BN124" s="59"/>
      <c r="BO124" s="59"/>
      <c r="BP124" s="59"/>
      <c r="BQ124" s="59"/>
      <c r="BR124" s="59"/>
      <c r="BS124" s="59"/>
      <c r="BT124" s="59"/>
      <c r="BU124" s="59"/>
      <c r="BV124" s="59"/>
    </row>
    <row r="125" spans="1:74" s="125" customFormat="1" ht="21.75" customHeight="1" x14ac:dyDescent="0.35">
      <c r="A125" s="105" t="s">
        <v>375</v>
      </c>
      <c r="B125" s="129" t="s">
        <v>151</v>
      </c>
      <c r="C125" s="140" t="s">
        <v>364</v>
      </c>
      <c r="D125" s="140" t="s">
        <v>362</v>
      </c>
      <c r="E125" s="105" t="s">
        <v>155</v>
      </c>
      <c r="F125" s="140" t="s">
        <v>398</v>
      </c>
      <c r="G125" s="140">
        <v>21110002</v>
      </c>
      <c r="H125" s="130" t="s">
        <v>186</v>
      </c>
      <c r="I125" s="127" t="s">
        <v>161</v>
      </c>
      <c r="J125" s="140" t="s">
        <v>222</v>
      </c>
      <c r="K125" s="140" t="s">
        <v>166</v>
      </c>
      <c r="L125" s="166">
        <v>1</v>
      </c>
      <c r="M125" s="166" t="s">
        <v>167</v>
      </c>
      <c r="N125" s="122"/>
      <c r="O125" s="122"/>
      <c r="P125" s="122"/>
      <c r="Q125" s="122"/>
      <c r="R125" s="122"/>
      <c r="S125" s="110"/>
      <c r="T125" s="142">
        <v>153</v>
      </c>
      <c r="U125" s="142">
        <v>153</v>
      </c>
      <c r="V125" s="142">
        <f t="shared" si="107"/>
        <v>168.47633333333334</v>
      </c>
      <c r="W125" s="110">
        <v>1778</v>
      </c>
      <c r="X125" s="127" t="s">
        <v>112</v>
      </c>
      <c r="Y125" s="83">
        <f t="shared" si="95"/>
        <v>14977.546033333336</v>
      </c>
      <c r="Z125" s="111">
        <f t="shared" si="96"/>
        <v>5991.0184133333332</v>
      </c>
      <c r="AA125" s="122">
        <f t="shared" si="97"/>
        <v>909.09090909090912</v>
      </c>
      <c r="AB125" s="122">
        <f t="shared" si="98"/>
        <v>606.06060606060601</v>
      </c>
      <c r="AC125" s="127" t="s">
        <v>112</v>
      </c>
      <c r="AD125" s="111">
        <f t="shared" si="58"/>
        <v>22483.715961818183</v>
      </c>
      <c r="AE125" s="112">
        <f t="shared" si="99"/>
        <v>12.658155049370079</v>
      </c>
      <c r="AF125" s="124">
        <f t="shared" si="108"/>
        <v>1.66854143232096</v>
      </c>
      <c r="AG125" s="124">
        <f t="shared" si="101"/>
        <v>0.34086648259876601</v>
      </c>
      <c r="AH125" s="113">
        <f t="shared" si="102"/>
        <v>0.21059541666666667</v>
      </c>
      <c r="AI125" s="112">
        <f t="shared" si="65"/>
        <v>0.9475609298837645</v>
      </c>
      <c r="AJ125" s="127" t="s">
        <v>112</v>
      </c>
      <c r="AK125" s="122">
        <f t="shared" si="109"/>
        <v>2.9043333333333332</v>
      </c>
      <c r="AL125" s="127" t="s">
        <v>112</v>
      </c>
      <c r="AM125" s="122">
        <f t="shared" si="104"/>
        <v>22.922180182022704</v>
      </c>
      <c r="AN125" s="127" t="s">
        <v>112</v>
      </c>
      <c r="AO125" s="127" t="s">
        <v>112</v>
      </c>
      <c r="AP125" s="114">
        <f t="shared" si="76"/>
        <v>28.994077776826195</v>
      </c>
      <c r="AQ125" s="122">
        <f t="shared" si="105"/>
        <v>9.0909090909090917</v>
      </c>
      <c r="AR125" s="114">
        <f t="shared" si="77"/>
        <v>50.743141917105369</v>
      </c>
      <c r="AS125" s="122"/>
      <c r="AT125" s="59"/>
      <c r="AU125" s="59"/>
      <c r="AV125" s="59"/>
      <c r="AW125" s="59"/>
      <c r="AX125" s="59"/>
      <c r="AY125" s="59"/>
      <c r="AZ125" s="59"/>
      <c r="BA125" s="59"/>
      <c r="BB125" s="59"/>
      <c r="BC125" s="59"/>
      <c r="BD125" s="59"/>
      <c r="BE125" s="59"/>
      <c r="BF125" s="59"/>
      <c r="BG125" s="59"/>
      <c r="BH125" s="59"/>
      <c r="BI125" s="59"/>
      <c r="BJ125" s="59"/>
      <c r="BK125" s="59"/>
      <c r="BL125" s="59"/>
      <c r="BM125" s="59"/>
      <c r="BN125" s="59"/>
      <c r="BO125" s="59"/>
      <c r="BP125" s="59"/>
      <c r="BQ125" s="59"/>
      <c r="BR125" s="59"/>
      <c r="BS125" s="59"/>
      <c r="BT125" s="59"/>
      <c r="BU125" s="59"/>
      <c r="BV125" s="59"/>
    </row>
    <row r="126" spans="1:74" s="125" customFormat="1" ht="21.75" customHeight="1" x14ac:dyDescent="0.35">
      <c r="A126" s="105" t="s">
        <v>376</v>
      </c>
      <c r="B126" s="129" t="s">
        <v>151</v>
      </c>
      <c r="C126" s="140" t="s">
        <v>364</v>
      </c>
      <c r="D126" s="140" t="s">
        <v>362</v>
      </c>
      <c r="E126" s="105" t="s">
        <v>155</v>
      </c>
      <c r="F126" s="140" t="s">
        <v>398</v>
      </c>
      <c r="G126" s="140">
        <v>21110002</v>
      </c>
      <c r="H126" s="130" t="s">
        <v>186</v>
      </c>
      <c r="I126" s="127" t="s">
        <v>161</v>
      </c>
      <c r="J126" s="140" t="s">
        <v>222</v>
      </c>
      <c r="K126" s="140" t="s">
        <v>166</v>
      </c>
      <c r="L126" s="166">
        <v>1</v>
      </c>
      <c r="M126" s="166" t="s">
        <v>167</v>
      </c>
      <c r="N126" s="122"/>
      <c r="O126" s="122"/>
      <c r="P126" s="122"/>
      <c r="Q126" s="122"/>
      <c r="R126" s="122"/>
      <c r="S126" s="110"/>
      <c r="T126" s="142">
        <v>153</v>
      </c>
      <c r="U126" s="142">
        <v>153</v>
      </c>
      <c r="V126" s="142">
        <f t="shared" si="107"/>
        <v>168.47633333333334</v>
      </c>
      <c r="W126" s="110">
        <v>1778</v>
      </c>
      <c r="X126" s="127" t="s">
        <v>112</v>
      </c>
      <c r="Y126" s="83">
        <f t="shared" si="95"/>
        <v>14977.546033333336</v>
      </c>
      <c r="Z126" s="111">
        <f t="shared" si="96"/>
        <v>5991.0184133333332</v>
      </c>
      <c r="AA126" s="122">
        <f t="shared" si="97"/>
        <v>909.09090909090912</v>
      </c>
      <c r="AB126" s="122">
        <f t="shared" si="98"/>
        <v>606.06060606060601</v>
      </c>
      <c r="AC126" s="127" t="s">
        <v>112</v>
      </c>
      <c r="AD126" s="111">
        <f t="shared" si="58"/>
        <v>22483.715961818183</v>
      </c>
      <c r="AE126" s="112">
        <f t="shared" si="99"/>
        <v>12.658155049370079</v>
      </c>
      <c r="AF126" s="124">
        <f t="shared" si="108"/>
        <v>1.66854143232096</v>
      </c>
      <c r="AG126" s="124">
        <f t="shared" si="101"/>
        <v>0.34086648259876601</v>
      </c>
      <c r="AH126" s="113">
        <f t="shared" si="102"/>
        <v>0.21059541666666667</v>
      </c>
      <c r="AI126" s="112">
        <f t="shared" si="65"/>
        <v>0.9475609298837645</v>
      </c>
      <c r="AJ126" s="127" t="s">
        <v>112</v>
      </c>
      <c r="AK126" s="122">
        <f t="shared" si="109"/>
        <v>2.9043333333333332</v>
      </c>
      <c r="AL126" s="127" t="s">
        <v>112</v>
      </c>
      <c r="AM126" s="122">
        <f t="shared" si="104"/>
        <v>22.922180182022704</v>
      </c>
      <c r="AN126" s="127" t="s">
        <v>112</v>
      </c>
      <c r="AO126" s="127" t="s">
        <v>112</v>
      </c>
      <c r="AP126" s="114">
        <f t="shared" si="76"/>
        <v>28.994077776826195</v>
      </c>
      <c r="AQ126" s="122">
        <f t="shared" si="105"/>
        <v>9.0909090909090917</v>
      </c>
      <c r="AR126" s="114">
        <f t="shared" si="77"/>
        <v>50.743141917105369</v>
      </c>
      <c r="AS126" s="122"/>
      <c r="AT126" s="59"/>
      <c r="AU126" s="59"/>
      <c r="AV126" s="59"/>
      <c r="AW126" s="59"/>
      <c r="AX126" s="59"/>
      <c r="AY126" s="59"/>
      <c r="AZ126" s="59"/>
      <c r="BA126" s="59"/>
      <c r="BB126" s="59"/>
      <c r="BC126" s="59"/>
      <c r="BD126" s="59"/>
      <c r="BE126" s="59"/>
      <c r="BF126" s="59"/>
      <c r="BG126" s="59"/>
      <c r="BH126" s="59"/>
      <c r="BI126" s="59"/>
      <c r="BJ126" s="59"/>
      <c r="BK126" s="59"/>
      <c r="BL126" s="59"/>
      <c r="BM126" s="59"/>
      <c r="BN126" s="59"/>
      <c r="BO126" s="59"/>
      <c r="BP126" s="59"/>
      <c r="BQ126" s="59"/>
      <c r="BR126" s="59"/>
      <c r="BS126" s="59"/>
      <c r="BT126" s="59"/>
      <c r="BU126" s="59"/>
      <c r="BV126" s="59"/>
    </row>
    <row r="127" spans="1:74" s="125" customFormat="1" ht="21.75" customHeight="1" x14ac:dyDescent="0.35">
      <c r="A127" s="105" t="s">
        <v>377</v>
      </c>
      <c r="B127" s="129" t="s">
        <v>151</v>
      </c>
      <c r="C127" s="140" t="s">
        <v>364</v>
      </c>
      <c r="D127" s="140" t="s">
        <v>362</v>
      </c>
      <c r="E127" s="105" t="s">
        <v>155</v>
      </c>
      <c r="F127" s="140" t="s">
        <v>398</v>
      </c>
      <c r="G127" s="140">
        <v>21110002</v>
      </c>
      <c r="H127" s="130" t="s">
        <v>186</v>
      </c>
      <c r="I127" s="127" t="s">
        <v>161</v>
      </c>
      <c r="J127" s="140" t="s">
        <v>222</v>
      </c>
      <c r="K127" s="140" t="s">
        <v>166</v>
      </c>
      <c r="L127" s="166">
        <v>1</v>
      </c>
      <c r="M127" s="166" t="s">
        <v>167</v>
      </c>
      <c r="N127" s="122"/>
      <c r="O127" s="122"/>
      <c r="P127" s="122"/>
      <c r="Q127" s="122"/>
      <c r="R127" s="122"/>
      <c r="S127" s="110"/>
      <c r="T127" s="142">
        <v>153</v>
      </c>
      <c r="U127" s="142">
        <v>153</v>
      </c>
      <c r="V127" s="142">
        <f t="shared" si="107"/>
        <v>168.47633333333334</v>
      </c>
      <c r="W127" s="110">
        <v>1778</v>
      </c>
      <c r="X127" s="127" t="s">
        <v>112</v>
      </c>
      <c r="Y127" s="83">
        <f t="shared" si="95"/>
        <v>14977.546033333336</v>
      </c>
      <c r="Z127" s="111">
        <f t="shared" si="96"/>
        <v>5991.0184133333332</v>
      </c>
      <c r="AA127" s="122">
        <f t="shared" si="97"/>
        <v>909.09090909090912</v>
      </c>
      <c r="AB127" s="122">
        <f t="shared" si="98"/>
        <v>606.06060606060601</v>
      </c>
      <c r="AC127" s="127" t="s">
        <v>112</v>
      </c>
      <c r="AD127" s="111">
        <f t="shared" si="58"/>
        <v>22483.715961818183</v>
      </c>
      <c r="AE127" s="112">
        <f t="shared" si="99"/>
        <v>12.658155049370079</v>
      </c>
      <c r="AF127" s="124">
        <f t="shared" si="108"/>
        <v>1.66854143232096</v>
      </c>
      <c r="AG127" s="124">
        <f t="shared" si="101"/>
        <v>0.34086648259876601</v>
      </c>
      <c r="AH127" s="113">
        <f t="shared" si="102"/>
        <v>0.21059541666666667</v>
      </c>
      <c r="AI127" s="112">
        <f t="shared" si="65"/>
        <v>0.9475609298837645</v>
      </c>
      <c r="AJ127" s="127" t="s">
        <v>112</v>
      </c>
      <c r="AK127" s="122">
        <f t="shared" si="109"/>
        <v>2.9043333333333332</v>
      </c>
      <c r="AL127" s="127" t="s">
        <v>112</v>
      </c>
      <c r="AM127" s="122">
        <f t="shared" si="104"/>
        <v>22.922180182022704</v>
      </c>
      <c r="AN127" s="127" t="s">
        <v>112</v>
      </c>
      <c r="AO127" s="127" t="s">
        <v>112</v>
      </c>
      <c r="AP127" s="114">
        <f t="shared" si="76"/>
        <v>28.994077776826195</v>
      </c>
      <c r="AQ127" s="122">
        <f t="shared" si="105"/>
        <v>9.0909090909090917</v>
      </c>
      <c r="AR127" s="114">
        <f t="shared" si="77"/>
        <v>50.743141917105369</v>
      </c>
      <c r="AS127" s="122"/>
      <c r="AT127" s="59"/>
      <c r="AU127" s="59"/>
      <c r="AV127" s="59"/>
      <c r="AW127" s="59"/>
      <c r="AX127" s="59"/>
      <c r="AY127" s="59"/>
      <c r="AZ127" s="59"/>
      <c r="BA127" s="59"/>
      <c r="BB127" s="59"/>
      <c r="BC127" s="59"/>
      <c r="BD127" s="59"/>
      <c r="BE127" s="59"/>
      <c r="BF127" s="59"/>
      <c r="BG127" s="59"/>
      <c r="BH127" s="59"/>
      <c r="BI127" s="59"/>
      <c r="BJ127" s="59"/>
      <c r="BK127" s="59"/>
      <c r="BL127" s="59"/>
      <c r="BM127" s="59"/>
      <c r="BN127" s="59"/>
      <c r="BO127" s="59"/>
      <c r="BP127" s="59"/>
      <c r="BQ127" s="59"/>
      <c r="BR127" s="59"/>
      <c r="BS127" s="59"/>
      <c r="BT127" s="59"/>
      <c r="BU127" s="59"/>
      <c r="BV127" s="59"/>
    </row>
    <row r="128" spans="1:74" s="125" customFormat="1" ht="21.75" customHeight="1" x14ac:dyDescent="0.35">
      <c r="A128" s="105" t="s">
        <v>378</v>
      </c>
      <c r="B128" s="129" t="s">
        <v>151</v>
      </c>
      <c r="C128" s="140" t="s">
        <v>364</v>
      </c>
      <c r="D128" s="140" t="s">
        <v>362</v>
      </c>
      <c r="E128" s="105" t="s">
        <v>155</v>
      </c>
      <c r="F128" s="140" t="s">
        <v>398</v>
      </c>
      <c r="G128" s="140">
        <v>21110002</v>
      </c>
      <c r="H128" s="130" t="s">
        <v>186</v>
      </c>
      <c r="I128" s="127" t="s">
        <v>161</v>
      </c>
      <c r="J128" s="140" t="s">
        <v>222</v>
      </c>
      <c r="K128" s="140" t="s">
        <v>166</v>
      </c>
      <c r="L128" s="166">
        <v>1</v>
      </c>
      <c r="M128" s="166" t="s">
        <v>167</v>
      </c>
      <c r="N128" s="122"/>
      <c r="O128" s="122"/>
      <c r="P128" s="122"/>
      <c r="Q128" s="122"/>
      <c r="R128" s="122"/>
      <c r="S128" s="110"/>
      <c r="T128" s="142">
        <v>153</v>
      </c>
      <c r="U128" s="142">
        <v>153</v>
      </c>
      <c r="V128" s="142">
        <f t="shared" si="107"/>
        <v>168.47633333333334</v>
      </c>
      <c r="W128" s="110">
        <v>1778</v>
      </c>
      <c r="X128" s="127" t="s">
        <v>112</v>
      </c>
      <c r="Y128" s="83">
        <f t="shared" si="95"/>
        <v>14977.546033333336</v>
      </c>
      <c r="Z128" s="111">
        <f t="shared" si="96"/>
        <v>5991.0184133333332</v>
      </c>
      <c r="AA128" s="122">
        <f t="shared" si="97"/>
        <v>909.09090909090912</v>
      </c>
      <c r="AB128" s="122">
        <f t="shared" si="98"/>
        <v>606.06060606060601</v>
      </c>
      <c r="AC128" s="127" t="s">
        <v>112</v>
      </c>
      <c r="AD128" s="111">
        <f t="shared" si="58"/>
        <v>22483.715961818183</v>
      </c>
      <c r="AE128" s="112">
        <f t="shared" si="99"/>
        <v>12.658155049370079</v>
      </c>
      <c r="AF128" s="124">
        <f t="shared" si="108"/>
        <v>1.66854143232096</v>
      </c>
      <c r="AG128" s="124">
        <f t="shared" si="101"/>
        <v>0.34086648259876601</v>
      </c>
      <c r="AH128" s="113">
        <f t="shared" si="102"/>
        <v>0.21059541666666667</v>
      </c>
      <c r="AI128" s="112">
        <f t="shared" si="65"/>
        <v>0.9475609298837645</v>
      </c>
      <c r="AJ128" s="127" t="s">
        <v>112</v>
      </c>
      <c r="AK128" s="122">
        <f t="shared" si="109"/>
        <v>2.9043333333333332</v>
      </c>
      <c r="AL128" s="127" t="s">
        <v>112</v>
      </c>
      <c r="AM128" s="122">
        <f t="shared" si="104"/>
        <v>22.922180182022704</v>
      </c>
      <c r="AN128" s="127" t="s">
        <v>112</v>
      </c>
      <c r="AO128" s="127" t="s">
        <v>112</v>
      </c>
      <c r="AP128" s="114">
        <f t="shared" si="76"/>
        <v>28.994077776826195</v>
      </c>
      <c r="AQ128" s="122">
        <f t="shared" si="105"/>
        <v>9.0909090909090917</v>
      </c>
      <c r="AR128" s="114">
        <f t="shared" si="77"/>
        <v>50.743141917105369</v>
      </c>
      <c r="AS128" s="122"/>
      <c r="AT128" s="59"/>
      <c r="AU128" s="59"/>
      <c r="AV128" s="59"/>
      <c r="AW128" s="59"/>
      <c r="AX128" s="59"/>
      <c r="AY128" s="59"/>
      <c r="AZ128" s="59"/>
      <c r="BA128" s="59"/>
      <c r="BB128" s="59"/>
      <c r="BC128" s="59"/>
      <c r="BD128" s="59"/>
      <c r="BE128" s="59"/>
      <c r="BF128" s="59"/>
      <c r="BG128" s="59"/>
      <c r="BH128" s="59"/>
      <c r="BI128" s="59"/>
      <c r="BJ128" s="59"/>
      <c r="BK128" s="59"/>
      <c r="BL128" s="59"/>
      <c r="BM128" s="59"/>
      <c r="BN128" s="59"/>
      <c r="BO128" s="59"/>
      <c r="BP128" s="59"/>
      <c r="BQ128" s="59"/>
      <c r="BR128" s="59"/>
      <c r="BS128" s="59"/>
      <c r="BT128" s="59"/>
      <c r="BU128" s="59"/>
      <c r="BV128" s="59"/>
    </row>
    <row r="129" spans="1:74" s="125" customFormat="1" ht="21.75" customHeight="1" x14ac:dyDescent="0.35">
      <c r="A129" s="105" t="s">
        <v>379</v>
      </c>
      <c r="B129" s="129" t="s">
        <v>151</v>
      </c>
      <c r="C129" s="140" t="s">
        <v>364</v>
      </c>
      <c r="D129" s="140" t="s">
        <v>362</v>
      </c>
      <c r="E129" s="105" t="s">
        <v>155</v>
      </c>
      <c r="F129" s="140" t="s">
        <v>398</v>
      </c>
      <c r="G129" s="140">
        <v>21110002</v>
      </c>
      <c r="H129" s="130" t="s">
        <v>186</v>
      </c>
      <c r="I129" s="127" t="s">
        <v>161</v>
      </c>
      <c r="J129" s="140" t="s">
        <v>222</v>
      </c>
      <c r="K129" s="140" t="s">
        <v>166</v>
      </c>
      <c r="L129" s="166">
        <v>1</v>
      </c>
      <c r="M129" s="166" t="s">
        <v>167</v>
      </c>
      <c r="N129" s="122"/>
      <c r="O129" s="122"/>
      <c r="P129" s="122"/>
      <c r="Q129" s="122"/>
      <c r="R129" s="122"/>
      <c r="S129" s="110"/>
      <c r="T129" s="142">
        <v>153</v>
      </c>
      <c r="U129" s="142">
        <v>153</v>
      </c>
      <c r="V129" s="142">
        <f t="shared" si="107"/>
        <v>168.47633333333334</v>
      </c>
      <c r="W129" s="110">
        <v>1778</v>
      </c>
      <c r="X129" s="127" t="s">
        <v>112</v>
      </c>
      <c r="Y129" s="83">
        <f t="shared" si="95"/>
        <v>14977.546033333336</v>
      </c>
      <c r="Z129" s="111">
        <f t="shared" si="96"/>
        <v>5991.0184133333332</v>
      </c>
      <c r="AA129" s="122">
        <f t="shared" si="97"/>
        <v>909.09090909090912</v>
      </c>
      <c r="AB129" s="122">
        <f t="shared" si="98"/>
        <v>606.06060606060601</v>
      </c>
      <c r="AC129" s="127" t="s">
        <v>112</v>
      </c>
      <c r="AD129" s="111">
        <f t="shared" si="58"/>
        <v>22483.715961818183</v>
      </c>
      <c r="AE129" s="112">
        <f t="shared" si="99"/>
        <v>12.658155049370079</v>
      </c>
      <c r="AF129" s="124">
        <f t="shared" si="108"/>
        <v>1.66854143232096</v>
      </c>
      <c r="AG129" s="124">
        <f t="shared" si="101"/>
        <v>0.34086648259876601</v>
      </c>
      <c r="AH129" s="113">
        <f t="shared" si="102"/>
        <v>0.21059541666666667</v>
      </c>
      <c r="AI129" s="112">
        <f t="shared" si="65"/>
        <v>0.9475609298837645</v>
      </c>
      <c r="AJ129" s="127" t="s">
        <v>112</v>
      </c>
      <c r="AK129" s="122">
        <f t="shared" si="109"/>
        <v>2.9043333333333332</v>
      </c>
      <c r="AL129" s="127" t="s">
        <v>112</v>
      </c>
      <c r="AM129" s="122">
        <f t="shared" si="104"/>
        <v>22.922180182022704</v>
      </c>
      <c r="AN129" s="127" t="s">
        <v>112</v>
      </c>
      <c r="AO129" s="127" t="s">
        <v>112</v>
      </c>
      <c r="AP129" s="114">
        <f t="shared" si="76"/>
        <v>28.994077776826195</v>
      </c>
      <c r="AQ129" s="122">
        <f t="shared" si="105"/>
        <v>9.0909090909090917</v>
      </c>
      <c r="AR129" s="114">
        <f t="shared" si="77"/>
        <v>50.743141917105369</v>
      </c>
      <c r="AS129" s="122"/>
      <c r="AT129" s="59"/>
      <c r="AU129" s="59"/>
      <c r="AV129" s="59"/>
      <c r="AW129" s="59"/>
      <c r="AX129" s="59"/>
      <c r="AY129" s="59"/>
      <c r="AZ129" s="59"/>
      <c r="BA129" s="59"/>
      <c r="BB129" s="59"/>
      <c r="BC129" s="59"/>
      <c r="BD129" s="59"/>
      <c r="BE129" s="59"/>
      <c r="BF129" s="59"/>
      <c r="BG129" s="59"/>
      <c r="BH129" s="59"/>
      <c r="BI129" s="59"/>
      <c r="BJ129" s="59"/>
      <c r="BK129" s="59"/>
      <c r="BL129" s="59"/>
      <c r="BM129" s="59"/>
      <c r="BN129" s="59"/>
      <c r="BO129" s="59"/>
      <c r="BP129" s="59"/>
      <c r="BQ129" s="59"/>
      <c r="BR129" s="59"/>
      <c r="BS129" s="59"/>
      <c r="BT129" s="59"/>
      <c r="BU129" s="59"/>
      <c r="BV129" s="59"/>
    </row>
    <row r="130" spans="1:74" s="125" customFormat="1" ht="21.75" customHeight="1" x14ac:dyDescent="0.35">
      <c r="A130" s="105" t="s">
        <v>380</v>
      </c>
      <c r="B130" s="129" t="s">
        <v>151</v>
      </c>
      <c r="C130" s="140" t="s">
        <v>364</v>
      </c>
      <c r="D130" s="140" t="s">
        <v>362</v>
      </c>
      <c r="E130" s="105" t="s">
        <v>155</v>
      </c>
      <c r="F130" s="140" t="s">
        <v>398</v>
      </c>
      <c r="G130" s="140">
        <v>21110002</v>
      </c>
      <c r="H130" s="130" t="s">
        <v>186</v>
      </c>
      <c r="I130" s="127" t="s">
        <v>161</v>
      </c>
      <c r="J130" s="140" t="s">
        <v>222</v>
      </c>
      <c r="K130" s="140" t="s">
        <v>166</v>
      </c>
      <c r="L130" s="166">
        <v>1</v>
      </c>
      <c r="M130" s="166" t="s">
        <v>167</v>
      </c>
      <c r="N130" s="122"/>
      <c r="O130" s="122"/>
      <c r="P130" s="122"/>
      <c r="Q130" s="122"/>
      <c r="R130" s="122"/>
      <c r="S130" s="110"/>
      <c r="T130" s="142">
        <v>153</v>
      </c>
      <c r="U130" s="142">
        <v>153</v>
      </c>
      <c r="V130" s="142">
        <f t="shared" si="107"/>
        <v>168.47633333333334</v>
      </c>
      <c r="W130" s="110">
        <v>1778</v>
      </c>
      <c r="X130" s="127" t="s">
        <v>112</v>
      </c>
      <c r="Y130" s="83">
        <f t="shared" si="95"/>
        <v>14977.546033333336</v>
      </c>
      <c r="Z130" s="111">
        <f t="shared" si="96"/>
        <v>5991.0184133333332</v>
      </c>
      <c r="AA130" s="122">
        <f t="shared" si="97"/>
        <v>909.09090909090912</v>
      </c>
      <c r="AB130" s="122">
        <f t="shared" si="98"/>
        <v>606.06060606060601</v>
      </c>
      <c r="AC130" s="127" t="s">
        <v>112</v>
      </c>
      <c r="AD130" s="111">
        <f t="shared" si="58"/>
        <v>22483.715961818183</v>
      </c>
      <c r="AE130" s="112">
        <f t="shared" si="99"/>
        <v>12.658155049370079</v>
      </c>
      <c r="AF130" s="124">
        <f t="shared" si="108"/>
        <v>1.66854143232096</v>
      </c>
      <c r="AG130" s="124">
        <f t="shared" si="101"/>
        <v>0.34086648259876601</v>
      </c>
      <c r="AH130" s="113">
        <f t="shared" si="102"/>
        <v>0.21059541666666667</v>
      </c>
      <c r="AI130" s="112">
        <f t="shared" si="65"/>
        <v>0.9475609298837645</v>
      </c>
      <c r="AJ130" s="127" t="s">
        <v>112</v>
      </c>
      <c r="AK130" s="122">
        <f t="shared" si="109"/>
        <v>2.9043333333333332</v>
      </c>
      <c r="AL130" s="127" t="s">
        <v>112</v>
      </c>
      <c r="AM130" s="122">
        <f t="shared" si="104"/>
        <v>22.922180182022704</v>
      </c>
      <c r="AN130" s="127" t="s">
        <v>112</v>
      </c>
      <c r="AO130" s="127" t="s">
        <v>112</v>
      </c>
      <c r="AP130" s="114">
        <f t="shared" si="76"/>
        <v>28.994077776826195</v>
      </c>
      <c r="AQ130" s="122">
        <f t="shared" si="105"/>
        <v>9.0909090909090917</v>
      </c>
      <c r="AR130" s="114">
        <f t="shared" si="77"/>
        <v>50.743141917105369</v>
      </c>
      <c r="AS130" s="122"/>
      <c r="AT130" s="59"/>
      <c r="AU130" s="59"/>
      <c r="AV130" s="59"/>
      <c r="AW130" s="59"/>
      <c r="AX130" s="59"/>
      <c r="AY130" s="59"/>
      <c r="AZ130" s="59"/>
      <c r="BA130" s="59"/>
      <c r="BB130" s="59"/>
      <c r="BC130" s="59"/>
      <c r="BD130" s="59"/>
      <c r="BE130" s="59"/>
      <c r="BF130" s="59"/>
      <c r="BG130" s="59"/>
      <c r="BH130" s="59"/>
      <c r="BI130" s="59"/>
      <c r="BJ130" s="59"/>
      <c r="BK130" s="59"/>
      <c r="BL130" s="59"/>
      <c r="BM130" s="59"/>
      <c r="BN130" s="59"/>
      <c r="BO130" s="59"/>
      <c r="BP130" s="59"/>
      <c r="BQ130" s="59"/>
      <c r="BR130" s="59"/>
      <c r="BS130" s="59"/>
      <c r="BT130" s="59"/>
      <c r="BU130" s="59"/>
      <c r="BV130" s="59"/>
    </row>
    <row r="131" spans="1:74" s="125" customFormat="1" ht="21.75" customHeight="1" x14ac:dyDescent="0.35">
      <c r="A131" s="105" t="s">
        <v>381</v>
      </c>
      <c r="B131" s="129" t="s">
        <v>151</v>
      </c>
      <c r="C131" s="140" t="s">
        <v>364</v>
      </c>
      <c r="D131" s="140" t="s">
        <v>362</v>
      </c>
      <c r="E131" s="105" t="s">
        <v>155</v>
      </c>
      <c r="F131" s="140" t="s">
        <v>398</v>
      </c>
      <c r="G131" s="140">
        <v>21110002</v>
      </c>
      <c r="H131" s="130" t="s">
        <v>186</v>
      </c>
      <c r="I131" s="127" t="s">
        <v>161</v>
      </c>
      <c r="J131" s="140" t="s">
        <v>222</v>
      </c>
      <c r="K131" s="140" t="s">
        <v>166</v>
      </c>
      <c r="L131" s="166">
        <v>1</v>
      </c>
      <c r="M131" s="166" t="s">
        <v>167</v>
      </c>
      <c r="N131" s="122"/>
      <c r="O131" s="122"/>
      <c r="P131" s="122"/>
      <c r="Q131" s="122"/>
      <c r="R131" s="122"/>
      <c r="S131" s="110"/>
      <c r="T131" s="142">
        <v>153</v>
      </c>
      <c r="U131" s="142">
        <v>153</v>
      </c>
      <c r="V131" s="142">
        <f t="shared" si="107"/>
        <v>168.47633333333334</v>
      </c>
      <c r="W131" s="110">
        <v>1778</v>
      </c>
      <c r="X131" s="127" t="s">
        <v>112</v>
      </c>
      <c r="Y131" s="83">
        <f t="shared" si="95"/>
        <v>14977.546033333336</v>
      </c>
      <c r="Z131" s="111">
        <f t="shared" si="96"/>
        <v>5991.0184133333332</v>
      </c>
      <c r="AA131" s="122">
        <f t="shared" si="97"/>
        <v>909.09090909090912</v>
      </c>
      <c r="AB131" s="122">
        <f t="shared" si="98"/>
        <v>606.06060606060601</v>
      </c>
      <c r="AC131" s="127" t="s">
        <v>112</v>
      </c>
      <c r="AD131" s="111">
        <f t="shared" ref="AD131:AD146" si="110">X131+Y131+Z131+AA131+AB131+AC131</f>
        <v>22483.715961818183</v>
      </c>
      <c r="AE131" s="112">
        <f t="shared" si="99"/>
        <v>12.658155049370079</v>
      </c>
      <c r="AF131" s="124">
        <f t="shared" si="108"/>
        <v>1.66854143232096</v>
      </c>
      <c r="AG131" s="124">
        <f t="shared" si="101"/>
        <v>0.34086648259876601</v>
      </c>
      <c r="AH131" s="113">
        <f t="shared" si="102"/>
        <v>0.21059541666666667</v>
      </c>
      <c r="AI131" s="112">
        <f t="shared" si="65"/>
        <v>0.9475609298837645</v>
      </c>
      <c r="AJ131" s="127" t="s">
        <v>112</v>
      </c>
      <c r="AK131" s="122">
        <f t="shared" si="109"/>
        <v>2.9043333333333332</v>
      </c>
      <c r="AL131" s="127" t="s">
        <v>112</v>
      </c>
      <c r="AM131" s="122">
        <f t="shared" si="104"/>
        <v>22.922180182022704</v>
      </c>
      <c r="AN131" s="127" t="s">
        <v>112</v>
      </c>
      <c r="AO131" s="127" t="s">
        <v>112</v>
      </c>
      <c r="AP131" s="114">
        <f t="shared" si="76"/>
        <v>28.994077776826195</v>
      </c>
      <c r="AQ131" s="122">
        <f t="shared" si="105"/>
        <v>9.0909090909090917</v>
      </c>
      <c r="AR131" s="114">
        <f t="shared" si="77"/>
        <v>50.743141917105369</v>
      </c>
      <c r="AS131" s="122"/>
      <c r="AT131" s="59"/>
      <c r="AU131" s="59"/>
      <c r="AV131" s="59"/>
      <c r="AW131" s="59"/>
      <c r="AX131" s="59"/>
      <c r="AY131" s="59"/>
      <c r="AZ131" s="59"/>
      <c r="BA131" s="59"/>
      <c r="BB131" s="59"/>
      <c r="BC131" s="59"/>
      <c r="BD131" s="59"/>
      <c r="BE131" s="59"/>
      <c r="BF131" s="59"/>
      <c r="BG131" s="59"/>
      <c r="BH131" s="59"/>
      <c r="BI131" s="59"/>
      <c r="BJ131" s="59"/>
      <c r="BK131" s="59"/>
      <c r="BL131" s="59"/>
      <c r="BM131" s="59"/>
      <c r="BN131" s="59"/>
      <c r="BO131" s="59"/>
      <c r="BP131" s="59"/>
      <c r="BQ131" s="59"/>
      <c r="BR131" s="59"/>
      <c r="BS131" s="59"/>
      <c r="BT131" s="59"/>
      <c r="BU131" s="59"/>
      <c r="BV131" s="59"/>
    </row>
    <row r="132" spans="1:74" s="125" customFormat="1" ht="21.75" customHeight="1" x14ac:dyDescent="0.35">
      <c r="A132" s="105" t="s">
        <v>382</v>
      </c>
      <c r="B132" s="129" t="s">
        <v>151</v>
      </c>
      <c r="C132" s="140" t="s">
        <v>364</v>
      </c>
      <c r="D132" s="140" t="s">
        <v>362</v>
      </c>
      <c r="E132" s="105" t="s">
        <v>155</v>
      </c>
      <c r="F132" s="140" t="s">
        <v>398</v>
      </c>
      <c r="G132" s="140">
        <v>21110002</v>
      </c>
      <c r="H132" s="130" t="s">
        <v>186</v>
      </c>
      <c r="I132" s="127" t="s">
        <v>161</v>
      </c>
      <c r="J132" s="140" t="s">
        <v>222</v>
      </c>
      <c r="K132" s="140" t="s">
        <v>166</v>
      </c>
      <c r="L132" s="166">
        <v>1</v>
      </c>
      <c r="M132" s="166" t="s">
        <v>167</v>
      </c>
      <c r="N132" s="122"/>
      <c r="O132" s="122"/>
      <c r="P132" s="122"/>
      <c r="Q132" s="122"/>
      <c r="R132" s="122"/>
      <c r="S132" s="110"/>
      <c r="T132" s="142">
        <v>153</v>
      </c>
      <c r="U132" s="142">
        <v>153</v>
      </c>
      <c r="V132" s="142">
        <f t="shared" si="107"/>
        <v>168.47633333333334</v>
      </c>
      <c r="W132" s="110">
        <v>1778</v>
      </c>
      <c r="X132" s="127" t="s">
        <v>112</v>
      </c>
      <c r="Y132" s="83">
        <f t="shared" si="95"/>
        <v>14977.546033333336</v>
      </c>
      <c r="Z132" s="111">
        <f t="shared" si="96"/>
        <v>5991.0184133333332</v>
      </c>
      <c r="AA132" s="122">
        <f t="shared" si="97"/>
        <v>909.09090909090912</v>
      </c>
      <c r="AB132" s="122">
        <f t="shared" si="98"/>
        <v>606.06060606060601</v>
      </c>
      <c r="AC132" s="127" t="s">
        <v>112</v>
      </c>
      <c r="AD132" s="111">
        <f t="shared" si="110"/>
        <v>22483.715961818183</v>
      </c>
      <c r="AE132" s="112">
        <f t="shared" si="99"/>
        <v>12.658155049370079</v>
      </c>
      <c r="AF132" s="124">
        <f t="shared" si="108"/>
        <v>1.66854143232096</v>
      </c>
      <c r="AG132" s="124">
        <f t="shared" si="101"/>
        <v>0.34086648259876601</v>
      </c>
      <c r="AH132" s="113">
        <f t="shared" si="102"/>
        <v>0.21059541666666667</v>
      </c>
      <c r="AI132" s="112">
        <f t="shared" si="65"/>
        <v>0.9475609298837645</v>
      </c>
      <c r="AJ132" s="127" t="s">
        <v>112</v>
      </c>
      <c r="AK132" s="122">
        <f t="shared" si="109"/>
        <v>2.9043333333333332</v>
      </c>
      <c r="AL132" s="127" t="s">
        <v>112</v>
      </c>
      <c r="AM132" s="122">
        <f t="shared" si="104"/>
        <v>22.922180182022704</v>
      </c>
      <c r="AN132" s="127" t="s">
        <v>112</v>
      </c>
      <c r="AO132" s="127" t="s">
        <v>112</v>
      </c>
      <c r="AP132" s="114">
        <f t="shared" si="76"/>
        <v>28.994077776826195</v>
      </c>
      <c r="AQ132" s="122">
        <f t="shared" si="105"/>
        <v>9.0909090909090917</v>
      </c>
      <c r="AR132" s="114">
        <f t="shared" si="77"/>
        <v>50.743141917105369</v>
      </c>
      <c r="AS132" s="122"/>
      <c r="AT132" s="59"/>
      <c r="AU132" s="59"/>
      <c r="AV132" s="59"/>
      <c r="AW132" s="59"/>
      <c r="AX132" s="59"/>
      <c r="AY132" s="59"/>
      <c r="AZ132" s="59"/>
      <c r="BA132" s="59"/>
      <c r="BB132" s="59"/>
      <c r="BC132" s="59"/>
      <c r="BD132" s="59"/>
      <c r="BE132" s="59"/>
      <c r="BF132" s="59"/>
      <c r="BG132" s="59"/>
      <c r="BH132" s="59"/>
      <c r="BI132" s="59"/>
      <c r="BJ132" s="59"/>
      <c r="BK132" s="59"/>
      <c r="BL132" s="59"/>
      <c r="BM132" s="59"/>
      <c r="BN132" s="59"/>
      <c r="BO132" s="59"/>
      <c r="BP132" s="59"/>
      <c r="BQ132" s="59"/>
      <c r="BR132" s="59"/>
      <c r="BS132" s="59"/>
      <c r="BT132" s="59"/>
      <c r="BU132" s="59"/>
      <c r="BV132" s="59"/>
    </row>
    <row r="133" spans="1:74" s="125" customFormat="1" ht="21.75" customHeight="1" x14ac:dyDescent="0.35">
      <c r="A133" s="105" t="s">
        <v>383</v>
      </c>
      <c r="B133" s="129" t="s">
        <v>151</v>
      </c>
      <c r="C133" s="140" t="s">
        <v>364</v>
      </c>
      <c r="D133" s="140" t="s">
        <v>362</v>
      </c>
      <c r="E133" s="105" t="s">
        <v>155</v>
      </c>
      <c r="F133" s="140" t="s">
        <v>398</v>
      </c>
      <c r="G133" s="140">
        <v>21110002</v>
      </c>
      <c r="H133" s="130" t="s">
        <v>186</v>
      </c>
      <c r="I133" s="127" t="s">
        <v>161</v>
      </c>
      <c r="J133" s="140" t="s">
        <v>222</v>
      </c>
      <c r="K133" s="140" t="s">
        <v>166</v>
      </c>
      <c r="L133" s="166">
        <v>1</v>
      </c>
      <c r="M133" s="166" t="s">
        <v>167</v>
      </c>
      <c r="N133" s="122"/>
      <c r="O133" s="122"/>
      <c r="P133" s="122"/>
      <c r="Q133" s="122"/>
      <c r="R133" s="122"/>
      <c r="S133" s="110"/>
      <c r="T133" s="142">
        <v>153</v>
      </c>
      <c r="U133" s="142">
        <v>153</v>
      </c>
      <c r="V133" s="142">
        <f t="shared" si="107"/>
        <v>168.47633333333334</v>
      </c>
      <c r="W133" s="110">
        <v>1778</v>
      </c>
      <c r="X133" s="127" t="s">
        <v>112</v>
      </c>
      <c r="Y133" s="83">
        <f t="shared" si="95"/>
        <v>14977.546033333336</v>
      </c>
      <c r="Z133" s="111">
        <f t="shared" si="96"/>
        <v>5991.0184133333332</v>
      </c>
      <c r="AA133" s="122">
        <f t="shared" si="97"/>
        <v>909.09090909090912</v>
      </c>
      <c r="AB133" s="122">
        <f t="shared" si="98"/>
        <v>606.06060606060601</v>
      </c>
      <c r="AC133" s="127" t="s">
        <v>112</v>
      </c>
      <c r="AD133" s="111">
        <f t="shared" si="110"/>
        <v>22483.715961818183</v>
      </c>
      <c r="AE133" s="112">
        <f t="shared" si="99"/>
        <v>12.658155049370079</v>
      </c>
      <c r="AF133" s="124">
        <f t="shared" si="108"/>
        <v>1.66854143232096</v>
      </c>
      <c r="AG133" s="124">
        <f t="shared" si="101"/>
        <v>0.34086648259876601</v>
      </c>
      <c r="AH133" s="113">
        <f t="shared" si="102"/>
        <v>0.21059541666666667</v>
      </c>
      <c r="AI133" s="112">
        <f t="shared" si="65"/>
        <v>0.9475609298837645</v>
      </c>
      <c r="AJ133" s="127" t="s">
        <v>112</v>
      </c>
      <c r="AK133" s="122">
        <f t="shared" si="109"/>
        <v>2.9043333333333332</v>
      </c>
      <c r="AL133" s="127" t="s">
        <v>112</v>
      </c>
      <c r="AM133" s="122">
        <f t="shared" si="104"/>
        <v>22.922180182022704</v>
      </c>
      <c r="AN133" s="127" t="s">
        <v>112</v>
      </c>
      <c r="AO133" s="127" t="s">
        <v>112</v>
      </c>
      <c r="AP133" s="114">
        <f t="shared" si="76"/>
        <v>28.994077776826195</v>
      </c>
      <c r="AQ133" s="122">
        <f t="shared" si="105"/>
        <v>9.0909090909090917</v>
      </c>
      <c r="AR133" s="114">
        <f t="shared" si="77"/>
        <v>50.743141917105369</v>
      </c>
      <c r="AS133" s="122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  <c r="BE133" s="59"/>
      <c r="BF133" s="59"/>
      <c r="BG133" s="59"/>
      <c r="BH133" s="59"/>
      <c r="BI133" s="59"/>
      <c r="BJ133" s="59"/>
      <c r="BK133" s="59"/>
      <c r="BL133" s="59"/>
      <c r="BM133" s="59"/>
      <c r="BN133" s="59"/>
      <c r="BO133" s="59"/>
      <c r="BP133" s="59"/>
      <c r="BQ133" s="59"/>
      <c r="BR133" s="59"/>
      <c r="BS133" s="59"/>
      <c r="BT133" s="59"/>
      <c r="BU133" s="59"/>
      <c r="BV133" s="59"/>
    </row>
    <row r="134" spans="1:74" s="125" customFormat="1" ht="21.75" customHeight="1" x14ac:dyDescent="0.35">
      <c r="A134" s="105" t="s">
        <v>384</v>
      </c>
      <c r="B134" s="129" t="s">
        <v>151</v>
      </c>
      <c r="C134" s="140" t="s">
        <v>364</v>
      </c>
      <c r="D134" s="140" t="s">
        <v>362</v>
      </c>
      <c r="E134" s="105" t="s">
        <v>155</v>
      </c>
      <c r="F134" s="140" t="s">
        <v>398</v>
      </c>
      <c r="G134" s="140">
        <v>21110002</v>
      </c>
      <c r="H134" s="130" t="s">
        <v>186</v>
      </c>
      <c r="I134" s="127" t="s">
        <v>161</v>
      </c>
      <c r="J134" s="140" t="s">
        <v>222</v>
      </c>
      <c r="K134" s="140" t="s">
        <v>166</v>
      </c>
      <c r="L134" s="166">
        <v>1</v>
      </c>
      <c r="M134" s="166" t="s">
        <v>167</v>
      </c>
      <c r="N134" s="122"/>
      <c r="O134" s="122"/>
      <c r="P134" s="122"/>
      <c r="Q134" s="122"/>
      <c r="R134" s="122"/>
      <c r="S134" s="110"/>
      <c r="T134" s="142">
        <v>153</v>
      </c>
      <c r="U134" s="142">
        <v>153</v>
      </c>
      <c r="V134" s="142">
        <f t="shared" si="107"/>
        <v>168.47633333333334</v>
      </c>
      <c r="W134" s="110">
        <v>1778</v>
      </c>
      <c r="X134" s="127" t="s">
        <v>112</v>
      </c>
      <c r="Y134" s="83">
        <f t="shared" si="95"/>
        <v>14977.546033333336</v>
      </c>
      <c r="Z134" s="111">
        <f t="shared" si="96"/>
        <v>5991.0184133333332</v>
      </c>
      <c r="AA134" s="122">
        <f t="shared" si="97"/>
        <v>909.09090909090912</v>
      </c>
      <c r="AB134" s="122">
        <f t="shared" si="98"/>
        <v>606.06060606060601</v>
      </c>
      <c r="AC134" s="127" t="s">
        <v>112</v>
      </c>
      <c r="AD134" s="111">
        <f t="shared" si="110"/>
        <v>22483.715961818183</v>
      </c>
      <c r="AE134" s="112">
        <f t="shared" si="99"/>
        <v>12.658155049370079</v>
      </c>
      <c r="AF134" s="124">
        <f t="shared" si="108"/>
        <v>1.66854143232096</v>
      </c>
      <c r="AG134" s="124">
        <f t="shared" si="101"/>
        <v>0.34086648259876601</v>
      </c>
      <c r="AH134" s="113">
        <f t="shared" si="102"/>
        <v>0.21059541666666667</v>
      </c>
      <c r="AI134" s="112">
        <f t="shared" si="65"/>
        <v>0.9475609298837645</v>
      </c>
      <c r="AJ134" s="127" t="s">
        <v>112</v>
      </c>
      <c r="AK134" s="122">
        <f t="shared" si="109"/>
        <v>2.9043333333333332</v>
      </c>
      <c r="AL134" s="127" t="s">
        <v>112</v>
      </c>
      <c r="AM134" s="122">
        <f t="shared" si="104"/>
        <v>22.922180182022704</v>
      </c>
      <c r="AN134" s="127" t="s">
        <v>112</v>
      </c>
      <c r="AO134" s="127" t="s">
        <v>112</v>
      </c>
      <c r="AP134" s="114">
        <f t="shared" si="76"/>
        <v>28.994077776826195</v>
      </c>
      <c r="AQ134" s="122">
        <f t="shared" si="105"/>
        <v>9.0909090909090917</v>
      </c>
      <c r="AR134" s="114">
        <f t="shared" si="77"/>
        <v>50.743141917105369</v>
      </c>
      <c r="AS134" s="122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  <c r="BE134" s="59"/>
      <c r="BF134" s="59"/>
      <c r="BG134" s="59"/>
      <c r="BH134" s="59"/>
      <c r="BI134" s="59"/>
      <c r="BJ134" s="59"/>
      <c r="BK134" s="59"/>
      <c r="BL134" s="59"/>
      <c r="BM134" s="59"/>
      <c r="BN134" s="59"/>
      <c r="BO134" s="59"/>
      <c r="BP134" s="59"/>
      <c r="BQ134" s="59"/>
      <c r="BR134" s="59"/>
      <c r="BS134" s="59"/>
      <c r="BT134" s="59"/>
      <c r="BU134" s="59"/>
      <c r="BV134" s="59"/>
    </row>
    <row r="135" spans="1:74" s="125" customFormat="1" ht="21.75" customHeight="1" x14ac:dyDescent="0.35">
      <c r="A135" s="105" t="s">
        <v>385</v>
      </c>
      <c r="B135" s="129" t="s">
        <v>151</v>
      </c>
      <c r="C135" s="140" t="s">
        <v>364</v>
      </c>
      <c r="D135" s="140" t="s">
        <v>362</v>
      </c>
      <c r="E135" s="105" t="s">
        <v>155</v>
      </c>
      <c r="F135" s="140" t="s">
        <v>398</v>
      </c>
      <c r="G135" s="140">
        <v>21110002</v>
      </c>
      <c r="H135" s="130" t="s">
        <v>186</v>
      </c>
      <c r="I135" s="127" t="s">
        <v>161</v>
      </c>
      <c r="J135" s="140" t="s">
        <v>222</v>
      </c>
      <c r="K135" s="140" t="s">
        <v>166</v>
      </c>
      <c r="L135" s="166">
        <v>1</v>
      </c>
      <c r="M135" s="166" t="s">
        <v>167</v>
      </c>
      <c r="N135" s="122"/>
      <c r="O135" s="122"/>
      <c r="P135" s="122"/>
      <c r="Q135" s="122"/>
      <c r="R135" s="122"/>
      <c r="S135" s="110"/>
      <c r="T135" s="142">
        <v>153</v>
      </c>
      <c r="U135" s="142">
        <v>153</v>
      </c>
      <c r="V135" s="142">
        <f t="shared" si="107"/>
        <v>168.47633333333334</v>
      </c>
      <c r="W135" s="110">
        <v>1778</v>
      </c>
      <c r="X135" s="127" t="s">
        <v>112</v>
      </c>
      <c r="Y135" s="83">
        <f t="shared" si="95"/>
        <v>14977.546033333336</v>
      </c>
      <c r="Z135" s="111">
        <f t="shared" si="96"/>
        <v>5991.0184133333332</v>
      </c>
      <c r="AA135" s="122">
        <f t="shared" si="97"/>
        <v>909.09090909090912</v>
      </c>
      <c r="AB135" s="122">
        <f t="shared" si="98"/>
        <v>606.06060606060601</v>
      </c>
      <c r="AC135" s="127" t="s">
        <v>112</v>
      </c>
      <c r="AD135" s="111">
        <f t="shared" si="110"/>
        <v>22483.715961818183</v>
      </c>
      <c r="AE135" s="112">
        <f t="shared" si="99"/>
        <v>12.658155049370079</v>
      </c>
      <c r="AF135" s="124">
        <f t="shared" si="108"/>
        <v>1.66854143232096</v>
      </c>
      <c r="AG135" s="124">
        <f t="shared" si="101"/>
        <v>0.34086648259876601</v>
      </c>
      <c r="AH135" s="113">
        <f t="shared" si="102"/>
        <v>0.21059541666666667</v>
      </c>
      <c r="AI135" s="112">
        <f t="shared" si="65"/>
        <v>0.9475609298837645</v>
      </c>
      <c r="AJ135" s="127" t="s">
        <v>112</v>
      </c>
      <c r="AK135" s="122">
        <f t="shared" si="109"/>
        <v>2.9043333333333332</v>
      </c>
      <c r="AL135" s="127" t="s">
        <v>112</v>
      </c>
      <c r="AM135" s="122">
        <f t="shared" si="104"/>
        <v>22.922180182022704</v>
      </c>
      <c r="AN135" s="127" t="s">
        <v>112</v>
      </c>
      <c r="AO135" s="127" t="s">
        <v>112</v>
      </c>
      <c r="AP135" s="114">
        <f t="shared" si="76"/>
        <v>28.994077776826195</v>
      </c>
      <c r="AQ135" s="122">
        <f t="shared" si="105"/>
        <v>9.0909090909090917</v>
      </c>
      <c r="AR135" s="114">
        <f t="shared" si="77"/>
        <v>50.743141917105369</v>
      </c>
      <c r="AS135" s="122"/>
      <c r="AT135" s="59"/>
      <c r="AU135" s="59"/>
      <c r="AV135" s="59"/>
      <c r="AW135" s="59"/>
      <c r="AX135" s="59"/>
      <c r="AY135" s="59"/>
      <c r="AZ135" s="59"/>
      <c r="BA135" s="59"/>
      <c r="BB135" s="59"/>
      <c r="BC135" s="59"/>
      <c r="BD135" s="59"/>
      <c r="BE135" s="59"/>
      <c r="BF135" s="59"/>
      <c r="BG135" s="59"/>
      <c r="BH135" s="59"/>
      <c r="BI135" s="59"/>
      <c r="BJ135" s="59"/>
      <c r="BK135" s="59"/>
      <c r="BL135" s="59"/>
      <c r="BM135" s="59"/>
      <c r="BN135" s="59"/>
      <c r="BO135" s="59"/>
      <c r="BP135" s="59"/>
      <c r="BQ135" s="59"/>
      <c r="BR135" s="59"/>
      <c r="BS135" s="59"/>
      <c r="BT135" s="59"/>
      <c r="BU135" s="59"/>
      <c r="BV135" s="59"/>
    </row>
    <row r="136" spans="1:74" s="125" customFormat="1" ht="21.75" customHeight="1" x14ac:dyDescent="0.35">
      <c r="A136" s="105" t="s">
        <v>386</v>
      </c>
      <c r="B136" s="129" t="s">
        <v>151</v>
      </c>
      <c r="C136" s="140" t="s">
        <v>364</v>
      </c>
      <c r="D136" s="140" t="s">
        <v>362</v>
      </c>
      <c r="E136" s="105" t="s">
        <v>155</v>
      </c>
      <c r="F136" s="140" t="s">
        <v>398</v>
      </c>
      <c r="G136" s="140">
        <v>21110002</v>
      </c>
      <c r="H136" s="130" t="s">
        <v>186</v>
      </c>
      <c r="I136" s="127" t="s">
        <v>161</v>
      </c>
      <c r="J136" s="140" t="s">
        <v>222</v>
      </c>
      <c r="K136" s="140" t="s">
        <v>166</v>
      </c>
      <c r="L136" s="166">
        <v>1</v>
      </c>
      <c r="M136" s="166" t="s">
        <v>167</v>
      </c>
      <c r="N136" s="122"/>
      <c r="O136" s="122"/>
      <c r="P136" s="122"/>
      <c r="Q136" s="122"/>
      <c r="R136" s="122"/>
      <c r="S136" s="110"/>
      <c r="T136" s="142">
        <v>153</v>
      </c>
      <c r="U136" s="142">
        <v>153</v>
      </c>
      <c r="V136" s="142">
        <f t="shared" si="107"/>
        <v>168.47633333333334</v>
      </c>
      <c r="W136" s="110">
        <v>1778</v>
      </c>
      <c r="X136" s="127" t="s">
        <v>112</v>
      </c>
      <c r="Y136" s="83">
        <f t="shared" si="95"/>
        <v>14977.546033333336</v>
      </c>
      <c r="Z136" s="111">
        <f t="shared" si="96"/>
        <v>5991.0184133333332</v>
      </c>
      <c r="AA136" s="122">
        <f t="shared" si="97"/>
        <v>909.09090909090912</v>
      </c>
      <c r="AB136" s="122">
        <f t="shared" si="98"/>
        <v>606.06060606060601</v>
      </c>
      <c r="AC136" s="127" t="s">
        <v>112</v>
      </c>
      <c r="AD136" s="111">
        <f t="shared" si="110"/>
        <v>22483.715961818183</v>
      </c>
      <c r="AE136" s="112">
        <f t="shared" si="99"/>
        <v>12.658155049370079</v>
      </c>
      <c r="AF136" s="124">
        <f t="shared" si="108"/>
        <v>1.66854143232096</v>
      </c>
      <c r="AG136" s="124">
        <f t="shared" si="101"/>
        <v>0.34086648259876601</v>
      </c>
      <c r="AH136" s="113">
        <f t="shared" si="102"/>
        <v>0.21059541666666667</v>
      </c>
      <c r="AI136" s="112">
        <f t="shared" si="65"/>
        <v>0.9475609298837645</v>
      </c>
      <c r="AJ136" s="127" t="s">
        <v>112</v>
      </c>
      <c r="AK136" s="122">
        <f t="shared" si="109"/>
        <v>2.9043333333333332</v>
      </c>
      <c r="AL136" s="127" t="s">
        <v>112</v>
      </c>
      <c r="AM136" s="122">
        <f t="shared" si="104"/>
        <v>22.922180182022704</v>
      </c>
      <c r="AN136" s="127" t="s">
        <v>112</v>
      </c>
      <c r="AO136" s="127" t="s">
        <v>112</v>
      </c>
      <c r="AP136" s="114">
        <f t="shared" si="76"/>
        <v>28.994077776826195</v>
      </c>
      <c r="AQ136" s="122">
        <f t="shared" si="105"/>
        <v>9.0909090909090917</v>
      </c>
      <c r="AR136" s="114">
        <f t="shared" si="77"/>
        <v>50.743141917105369</v>
      </c>
      <c r="AS136" s="122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  <c r="BE136" s="59"/>
      <c r="BF136" s="59"/>
      <c r="BG136" s="59"/>
      <c r="BH136" s="59"/>
      <c r="BI136" s="59"/>
      <c r="BJ136" s="59"/>
      <c r="BK136" s="59"/>
      <c r="BL136" s="59"/>
      <c r="BM136" s="59"/>
      <c r="BN136" s="59"/>
      <c r="BO136" s="59"/>
      <c r="BP136" s="59"/>
      <c r="BQ136" s="59"/>
      <c r="BR136" s="59"/>
      <c r="BS136" s="59"/>
      <c r="BT136" s="59"/>
      <c r="BU136" s="59"/>
      <c r="BV136" s="59"/>
    </row>
    <row r="137" spans="1:74" s="125" customFormat="1" ht="21.75" customHeight="1" x14ac:dyDescent="0.35">
      <c r="A137" s="105" t="s">
        <v>387</v>
      </c>
      <c r="B137" s="129" t="s">
        <v>151</v>
      </c>
      <c r="C137" s="140" t="s">
        <v>364</v>
      </c>
      <c r="D137" s="140" t="s">
        <v>362</v>
      </c>
      <c r="E137" s="105" t="s">
        <v>155</v>
      </c>
      <c r="F137" s="140" t="s">
        <v>398</v>
      </c>
      <c r="G137" s="140">
        <v>21110002</v>
      </c>
      <c r="H137" s="130" t="s">
        <v>186</v>
      </c>
      <c r="I137" s="127" t="s">
        <v>161</v>
      </c>
      <c r="J137" s="140" t="s">
        <v>222</v>
      </c>
      <c r="K137" s="140" t="s">
        <v>166</v>
      </c>
      <c r="L137" s="166">
        <v>1</v>
      </c>
      <c r="M137" s="166" t="s">
        <v>167</v>
      </c>
      <c r="N137" s="122"/>
      <c r="O137" s="122"/>
      <c r="P137" s="122"/>
      <c r="Q137" s="122"/>
      <c r="R137" s="122"/>
      <c r="S137" s="110"/>
      <c r="T137" s="142">
        <v>153</v>
      </c>
      <c r="U137" s="142">
        <v>153</v>
      </c>
      <c r="V137" s="142">
        <f t="shared" si="107"/>
        <v>168.47633333333334</v>
      </c>
      <c r="W137" s="110">
        <v>1778</v>
      </c>
      <c r="X137" s="127" t="s">
        <v>112</v>
      </c>
      <c r="Y137" s="83">
        <f t="shared" si="95"/>
        <v>14977.546033333336</v>
      </c>
      <c r="Z137" s="111">
        <f t="shared" si="96"/>
        <v>5991.0184133333332</v>
      </c>
      <c r="AA137" s="122">
        <f t="shared" si="97"/>
        <v>909.09090909090912</v>
      </c>
      <c r="AB137" s="122">
        <f t="shared" si="98"/>
        <v>606.06060606060601</v>
      </c>
      <c r="AC137" s="127" t="s">
        <v>112</v>
      </c>
      <c r="AD137" s="111">
        <f t="shared" si="110"/>
        <v>22483.715961818183</v>
      </c>
      <c r="AE137" s="112">
        <f t="shared" si="99"/>
        <v>12.658155049370079</v>
      </c>
      <c r="AF137" s="124">
        <f t="shared" si="108"/>
        <v>1.66854143232096</v>
      </c>
      <c r="AG137" s="124">
        <f t="shared" si="101"/>
        <v>0.34086648259876601</v>
      </c>
      <c r="AH137" s="113">
        <f t="shared" si="102"/>
        <v>0.21059541666666667</v>
      </c>
      <c r="AI137" s="112">
        <f t="shared" si="65"/>
        <v>0.9475609298837645</v>
      </c>
      <c r="AJ137" s="127" t="s">
        <v>112</v>
      </c>
      <c r="AK137" s="122">
        <f t="shared" si="109"/>
        <v>2.9043333333333332</v>
      </c>
      <c r="AL137" s="127" t="s">
        <v>112</v>
      </c>
      <c r="AM137" s="122">
        <f t="shared" si="104"/>
        <v>22.922180182022704</v>
      </c>
      <c r="AN137" s="127" t="s">
        <v>112</v>
      </c>
      <c r="AO137" s="127" t="s">
        <v>112</v>
      </c>
      <c r="AP137" s="114">
        <f t="shared" si="76"/>
        <v>28.994077776826195</v>
      </c>
      <c r="AQ137" s="122">
        <f t="shared" si="105"/>
        <v>9.0909090909090917</v>
      </c>
      <c r="AR137" s="114">
        <f t="shared" si="77"/>
        <v>50.743141917105369</v>
      </c>
      <c r="AS137" s="122"/>
      <c r="AT137" s="59"/>
      <c r="AU137" s="59"/>
      <c r="AV137" s="59"/>
      <c r="AW137" s="59"/>
      <c r="AX137" s="59"/>
      <c r="AY137" s="59"/>
      <c r="AZ137" s="59"/>
      <c r="BA137" s="59"/>
      <c r="BB137" s="59"/>
      <c r="BC137" s="59"/>
      <c r="BD137" s="59"/>
      <c r="BE137" s="59"/>
      <c r="BF137" s="59"/>
      <c r="BG137" s="59"/>
      <c r="BH137" s="59"/>
      <c r="BI137" s="59"/>
      <c r="BJ137" s="59"/>
      <c r="BK137" s="59"/>
      <c r="BL137" s="59"/>
      <c r="BM137" s="59"/>
      <c r="BN137" s="59"/>
      <c r="BO137" s="59"/>
      <c r="BP137" s="59"/>
      <c r="BQ137" s="59"/>
      <c r="BR137" s="59"/>
      <c r="BS137" s="59"/>
      <c r="BT137" s="59"/>
      <c r="BU137" s="59"/>
      <c r="BV137" s="59"/>
    </row>
    <row r="138" spans="1:74" s="125" customFormat="1" ht="21.75" customHeight="1" x14ac:dyDescent="0.35">
      <c r="A138" s="105" t="s">
        <v>388</v>
      </c>
      <c r="B138" s="129" t="s">
        <v>151</v>
      </c>
      <c r="C138" s="140" t="s">
        <v>364</v>
      </c>
      <c r="D138" s="140" t="s">
        <v>362</v>
      </c>
      <c r="E138" s="105" t="s">
        <v>155</v>
      </c>
      <c r="F138" s="140" t="s">
        <v>398</v>
      </c>
      <c r="G138" s="140">
        <v>21110002</v>
      </c>
      <c r="H138" s="130" t="s">
        <v>186</v>
      </c>
      <c r="I138" s="127" t="s">
        <v>161</v>
      </c>
      <c r="J138" s="140" t="s">
        <v>222</v>
      </c>
      <c r="K138" s="140" t="s">
        <v>166</v>
      </c>
      <c r="L138" s="166">
        <v>1</v>
      </c>
      <c r="M138" s="166" t="s">
        <v>167</v>
      </c>
      <c r="N138" s="122"/>
      <c r="O138" s="122"/>
      <c r="P138" s="122"/>
      <c r="Q138" s="122"/>
      <c r="R138" s="122"/>
      <c r="S138" s="110"/>
      <c r="T138" s="142">
        <v>153</v>
      </c>
      <c r="U138" s="142">
        <v>153</v>
      </c>
      <c r="V138" s="142">
        <f t="shared" si="107"/>
        <v>168.47633333333334</v>
      </c>
      <c r="W138" s="110">
        <v>1778</v>
      </c>
      <c r="X138" s="127" t="s">
        <v>112</v>
      </c>
      <c r="Y138" s="83">
        <f t="shared" si="95"/>
        <v>14977.546033333336</v>
      </c>
      <c r="Z138" s="111">
        <f t="shared" si="96"/>
        <v>5991.0184133333332</v>
      </c>
      <c r="AA138" s="122">
        <f t="shared" si="97"/>
        <v>909.09090909090912</v>
      </c>
      <c r="AB138" s="122">
        <f t="shared" si="98"/>
        <v>606.06060606060601</v>
      </c>
      <c r="AC138" s="127" t="s">
        <v>112</v>
      </c>
      <c r="AD138" s="111">
        <f t="shared" si="110"/>
        <v>22483.715961818183</v>
      </c>
      <c r="AE138" s="112">
        <f t="shared" si="99"/>
        <v>12.658155049370079</v>
      </c>
      <c r="AF138" s="124">
        <f t="shared" si="108"/>
        <v>1.66854143232096</v>
      </c>
      <c r="AG138" s="124">
        <f t="shared" si="101"/>
        <v>0.34086648259876601</v>
      </c>
      <c r="AH138" s="113">
        <f t="shared" si="102"/>
        <v>0.21059541666666667</v>
      </c>
      <c r="AI138" s="112">
        <f t="shared" si="65"/>
        <v>0.9475609298837645</v>
      </c>
      <c r="AJ138" s="127" t="s">
        <v>112</v>
      </c>
      <c r="AK138" s="122">
        <f t="shared" si="109"/>
        <v>2.9043333333333332</v>
      </c>
      <c r="AL138" s="127" t="s">
        <v>112</v>
      </c>
      <c r="AM138" s="122">
        <f t="shared" si="104"/>
        <v>22.922180182022704</v>
      </c>
      <c r="AN138" s="127" t="s">
        <v>112</v>
      </c>
      <c r="AO138" s="127" t="s">
        <v>112</v>
      </c>
      <c r="AP138" s="114">
        <f t="shared" si="76"/>
        <v>28.994077776826195</v>
      </c>
      <c r="AQ138" s="122">
        <f t="shared" si="105"/>
        <v>9.0909090909090917</v>
      </c>
      <c r="AR138" s="114">
        <f t="shared" si="77"/>
        <v>50.743141917105369</v>
      </c>
      <c r="AS138" s="122"/>
      <c r="AT138" s="59"/>
      <c r="AU138" s="59"/>
      <c r="AV138" s="59"/>
      <c r="AW138" s="59"/>
      <c r="AX138" s="59"/>
      <c r="AY138" s="59"/>
      <c r="AZ138" s="59"/>
      <c r="BA138" s="59"/>
      <c r="BB138" s="59"/>
      <c r="BC138" s="59"/>
      <c r="BD138" s="59"/>
      <c r="BE138" s="59"/>
      <c r="BF138" s="59"/>
      <c r="BG138" s="59"/>
      <c r="BH138" s="59"/>
      <c r="BI138" s="59"/>
      <c r="BJ138" s="59"/>
      <c r="BK138" s="59"/>
      <c r="BL138" s="59"/>
      <c r="BM138" s="59"/>
      <c r="BN138" s="59"/>
      <c r="BO138" s="59"/>
      <c r="BP138" s="59"/>
      <c r="BQ138" s="59"/>
      <c r="BR138" s="59"/>
      <c r="BS138" s="59"/>
      <c r="BT138" s="59"/>
      <c r="BU138" s="59"/>
      <c r="BV138" s="59"/>
    </row>
    <row r="139" spans="1:74" s="125" customFormat="1" ht="21.75" customHeight="1" x14ac:dyDescent="0.35">
      <c r="A139" s="105" t="s">
        <v>389</v>
      </c>
      <c r="B139" s="129" t="s">
        <v>151</v>
      </c>
      <c r="C139" s="140" t="s">
        <v>364</v>
      </c>
      <c r="D139" s="140" t="s">
        <v>362</v>
      </c>
      <c r="E139" s="105" t="s">
        <v>155</v>
      </c>
      <c r="F139" s="140" t="s">
        <v>398</v>
      </c>
      <c r="G139" s="140">
        <v>21110002</v>
      </c>
      <c r="H139" s="130" t="s">
        <v>186</v>
      </c>
      <c r="I139" s="127" t="s">
        <v>161</v>
      </c>
      <c r="J139" s="140" t="s">
        <v>222</v>
      </c>
      <c r="K139" s="140" t="s">
        <v>166</v>
      </c>
      <c r="L139" s="166">
        <v>1</v>
      </c>
      <c r="M139" s="166" t="s">
        <v>167</v>
      </c>
      <c r="N139" s="122"/>
      <c r="O139" s="122"/>
      <c r="P139" s="122"/>
      <c r="Q139" s="122"/>
      <c r="R139" s="122"/>
      <c r="S139" s="110"/>
      <c r="T139" s="142">
        <v>153</v>
      </c>
      <c r="U139" s="142">
        <v>153</v>
      </c>
      <c r="V139" s="142">
        <f t="shared" si="107"/>
        <v>168.47633333333334</v>
      </c>
      <c r="W139" s="110">
        <v>1778</v>
      </c>
      <c r="X139" s="127" t="s">
        <v>112</v>
      </c>
      <c r="Y139" s="83">
        <f t="shared" si="95"/>
        <v>14977.546033333336</v>
      </c>
      <c r="Z139" s="111">
        <f t="shared" si="96"/>
        <v>5991.0184133333332</v>
      </c>
      <c r="AA139" s="122">
        <f t="shared" si="97"/>
        <v>909.09090909090912</v>
      </c>
      <c r="AB139" s="122">
        <f t="shared" si="98"/>
        <v>606.06060606060601</v>
      </c>
      <c r="AC139" s="127" t="s">
        <v>112</v>
      </c>
      <c r="AD139" s="111">
        <f t="shared" si="110"/>
        <v>22483.715961818183</v>
      </c>
      <c r="AE139" s="112">
        <f t="shared" si="99"/>
        <v>12.658155049370079</v>
      </c>
      <c r="AF139" s="124">
        <f t="shared" si="108"/>
        <v>1.66854143232096</v>
      </c>
      <c r="AG139" s="124">
        <f t="shared" si="101"/>
        <v>0.34086648259876601</v>
      </c>
      <c r="AH139" s="113">
        <f t="shared" si="102"/>
        <v>0.21059541666666667</v>
      </c>
      <c r="AI139" s="112">
        <f t="shared" si="65"/>
        <v>0.9475609298837645</v>
      </c>
      <c r="AJ139" s="127" t="s">
        <v>112</v>
      </c>
      <c r="AK139" s="122">
        <f t="shared" si="109"/>
        <v>2.9043333333333332</v>
      </c>
      <c r="AL139" s="127" t="s">
        <v>112</v>
      </c>
      <c r="AM139" s="122">
        <f t="shared" si="104"/>
        <v>22.922180182022704</v>
      </c>
      <c r="AN139" s="127" t="s">
        <v>112</v>
      </c>
      <c r="AO139" s="127" t="s">
        <v>112</v>
      </c>
      <c r="AP139" s="114">
        <f t="shared" si="76"/>
        <v>28.994077776826195</v>
      </c>
      <c r="AQ139" s="122">
        <f t="shared" si="105"/>
        <v>9.0909090909090917</v>
      </c>
      <c r="AR139" s="114">
        <f t="shared" si="77"/>
        <v>50.743141917105369</v>
      </c>
      <c r="AS139" s="122"/>
      <c r="AT139" s="59"/>
      <c r="AU139" s="59"/>
      <c r="AV139" s="59"/>
      <c r="AW139" s="59"/>
      <c r="AX139" s="59"/>
      <c r="AY139" s="59"/>
      <c r="AZ139" s="59"/>
      <c r="BA139" s="59"/>
      <c r="BB139" s="59"/>
      <c r="BC139" s="59"/>
      <c r="BD139" s="59"/>
      <c r="BE139" s="59"/>
      <c r="BF139" s="59"/>
      <c r="BG139" s="59"/>
      <c r="BH139" s="59"/>
      <c r="BI139" s="59"/>
      <c r="BJ139" s="59"/>
      <c r="BK139" s="59"/>
      <c r="BL139" s="59"/>
      <c r="BM139" s="59"/>
      <c r="BN139" s="59"/>
      <c r="BO139" s="59"/>
      <c r="BP139" s="59"/>
      <c r="BQ139" s="59"/>
      <c r="BR139" s="59"/>
      <c r="BS139" s="59"/>
      <c r="BT139" s="59"/>
      <c r="BU139" s="59"/>
      <c r="BV139" s="59"/>
    </row>
    <row r="140" spans="1:74" s="125" customFormat="1" ht="21.75" customHeight="1" x14ac:dyDescent="0.35">
      <c r="A140" s="105" t="s">
        <v>390</v>
      </c>
      <c r="B140" s="129" t="s">
        <v>151</v>
      </c>
      <c r="C140" s="140" t="s">
        <v>364</v>
      </c>
      <c r="D140" s="140" t="s">
        <v>362</v>
      </c>
      <c r="E140" s="105" t="s">
        <v>155</v>
      </c>
      <c r="F140" s="140" t="s">
        <v>398</v>
      </c>
      <c r="G140" s="140">
        <v>21110002</v>
      </c>
      <c r="H140" s="130" t="s">
        <v>186</v>
      </c>
      <c r="I140" s="127" t="s">
        <v>161</v>
      </c>
      <c r="J140" s="140" t="s">
        <v>222</v>
      </c>
      <c r="K140" s="140" t="s">
        <v>166</v>
      </c>
      <c r="L140" s="166">
        <v>1</v>
      </c>
      <c r="M140" s="166" t="s">
        <v>167</v>
      </c>
      <c r="N140" s="122"/>
      <c r="O140" s="122"/>
      <c r="P140" s="122"/>
      <c r="Q140" s="122"/>
      <c r="R140" s="122"/>
      <c r="S140" s="110"/>
      <c r="T140" s="142">
        <v>153</v>
      </c>
      <c r="U140" s="142">
        <v>153</v>
      </c>
      <c r="V140" s="142">
        <f t="shared" si="107"/>
        <v>168.47633333333334</v>
      </c>
      <c r="W140" s="110">
        <v>1778</v>
      </c>
      <c r="X140" s="127" t="s">
        <v>112</v>
      </c>
      <c r="Y140" s="83">
        <f t="shared" si="95"/>
        <v>14977.546033333336</v>
      </c>
      <c r="Z140" s="111">
        <f t="shared" si="96"/>
        <v>5991.0184133333332</v>
      </c>
      <c r="AA140" s="122">
        <f t="shared" si="97"/>
        <v>909.09090909090912</v>
      </c>
      <c r="AB140" s="122">
        <f t="shared" si="98"/>
        <v>606.06060606060601</v>
      </c>
      <c r="AC140" s="127" t="s">
        <v>112</v>
      </c>
      <c r="AD140" s="111">
        <f t="shared" si="110"/>
        <v>22483.715961818183</v>
      </c>
      <c r="AE140" s="112">
        <f t="shared" si="99"/>
        <v>12.658155049370079</v>
      </c>
      <c r="AF140" s="124">
        <f t="shared" si="108"/>
        <v>1.66854143232096</v>
      </c>
      <c r="AG140" s="124">
        <f t="shared" si="101"/>
        <v>0.34086648259876601</v>
      </c>
      <c r="AH140" s="113">
        <f t="shared" si="102"/>
        <v>0.21059541666666667</v>
      </c>
      <c r="AI140" s="112">
        <f t="shared" si="65"/>
        <v>0.9475609298837645</v>
      </c>
      <c r="AJ140" s="127" t="s">
        <v>112</v>
      </c>
      <c r="AK140" s="122">
        <f t="shared" si="109"/>
        <v>2.9043333333333332</v>
      </c>
      <c r="AL140" s="127" t="s">
        <v>112</v>
      </c>
      <c r="AM140" s="122">
        <f t="shared" si="104"/>
        <v>22.922180182022704</v>
      </c>
      <c r="AN140" s="127" t="s">
        <v>112</v>
      </c>
      <c r="AO140" s="127" t="s">
        <v>112</v>
      </c>
      <c r="AP140" s="114">
        <f t="shared" si="76"/>
        <v>28.994077776826195</v>
      </c>
      <c r="AQ140" s="122">
        <f t="shared" si="105"/>
        <v>9.0909090909090917</v>
      </c>
      <c r="AR140" s="114">
        <f t="shared" si="77"/>
        <v>50.743141917105369</v>
      </c>
      <c r="AS140" s="122"/>
      <c r="AT140" s="59"/>
      <c r="AU140" s="59"/>
      <c r="AV140" s="59"/>
      <c r="AW140" s="59"/>
      <c r="AX140" s="59"/>
      <c r="AY140" s="59"/>
      <c r="AZ140" s="59"/>
      <c r="BA140" s="59"/>
      <c r="BB140" s="59"/>
      <c r="BC140" s="59"/>
      <c r="BD140" s="59"/>
      <c r="BE140" s="59"/>
      <c r="BF140" s="59"/>
      <c r="BG140" s="59"/>
      <c r="BH140" s="59"/>
      <c r="BI140" s="59"/>
      <c r="BJ140" s="59"/>
      <c r="BK140" s="59"/>
      <c r="BL140" s="59"/>
      <c r="BM140" s="59"/>
      <c r="BN140" s="59"/>
      <c r="BO140" s="59"/>
      <c r="BP140" s="59"/>
      <c r="BQ140" s="59"/>
      <c r="BR140" s="59"/>
      <c r="BS140" s="59"/>
      <c r="BT140" s="59"/>
      <c r="BU140" s="59"/>
      <c r="BV140" s="59"/>
    </row>
    <row r="141" spans="1:74" s="125" customFormat="1" ht="21.75" customHeight="1" x14ac:dyDescent="0.35">
      <c r="A141" s="105" t="s">
        <v>391</v>
      </c>
      <c r="B141" s="129" t="s">
        <v>151</v>
      </c>
      <c r="C141" s="140" t="s">
        <v>364</v>
      </c>
      <c r="D141" s="140" t="s">
        <v>362</v>
      </c>
      <c r="E141" s="105" t="s">
        <v>155</v>
      </c>
      <c r="F141" s="140" t="s">
        <v>398</v>
      </c>
      <c r="G141" s="140">
        <v>21110002</v>
      </c>
      <c r="H141" s="130" t="s">
        <v>186</v>
      </c>
      <c r="I141" s="127" t="s">
        <v>161</v>
      </c>
      <c r="J141" s="140" t="s">
        <v>222</v>
      </c>
      <c r="K141" s="140" t="s">
        <v>166</v>
      </c>
      <c r="L141" s="166">
        <v>1</v>
      </c>
      <c r="M141" s="166" t="s">
        <v>167</v>
      </c>
      <c r="N141" s="122"/>
      <c r="O141" s="122"/>
      <c r="P141" s="122"/>
      <c r="Q141" s="122"/>
      <c r="R141" s="122"/>
      <c r="S141" s="110"/>
      <c r="T141" s="142">
        <v>153</v>
      </c>
      <c r="U141" s="142">
        <v>153</v>
      </c>
      <c r="V141" s="142">
        <f t="shared" si="107"/>
        <v>168.47633333333334</v>
      </c>
      <c r="W141" s="110">
        <v>1778</v>
      </c>
      <c r="X141" s="127" t="s">
        <v>112</v>
      </c>
      <c r="Y141" s="83">
        <f t="shared" si="95"/>
        <v>14977.546033333336</v>
      </c>
      <c r="Z141" s="111">
        <f t="shared" si="96"/>
        <v>5991.0184133333332</v>
      </c>
      <c r="AA141" s="122">
        <f t="shared" si="97"/>
        <v>909.09090909090912</v>
      </c>
      <c r="AB141" s="122">
        <f t="shared" si="98"/>
        <v>606.06060606060601</v>
      </c>
      <c r="AC141" s="127" t="s">
        <v>112</v>
      </c>
      <c r="AD141" s="111">
        <f t="shared" si="110"/>
        <v>22483.715961818183</v>
      </c>
      <c r="AE141" s="112">
        <f t="shared" si="99"/>
        <v>12.658155049370079</v>
      </c>
      <c r="AF141" s="124">
        <f t="shared" si="108"/>
        <v>1.66854143232096</v>
      </c>
      <c r="AG141" s="124">
        <f t="shared" si="101"/>
        <v>0.34086648259876601</v>
      </c>
      <c r="AH141" s="113">
        <f t="shared" si="102"/>
        <v>0.21059541666666667</v>
      </c>
      <c r="AI141" s="112">
        <f t="shared" si="65"/>
        <v>0.9475609298837645</v>
      </c>
      <c r="AJ141" s="127" t="s">
        <v>112</v>
      </c>
      <c r="AK141" s="122">
        <f t="shared" si="109"/>
        <v>2.9043333333333332</v>
      </c>
      <c r="AL141" s="127" t="s">
        <v>112</v>
      </c>
      <c r="AM141" s="122">
        <f t="shared" si="104"/>
        <v>22.922180182022704</v>
      </c>
      <c r="AN141" s="127" t="s">
        <v>112</v>
      </c>
      <c r="AO141" s="127" t="s">
        <v>112</v>
      </c>
      <c r="AP141" s="114">
        <f t="shared" si="76"/>
        <v>28.994077776826195</v>
      </c>
      <c r="AQ141" s="122">
        <f t="shared" si="105"/>
        <v>9.0909090909090917</v>
      </c>
      <c r="AR141" s="114">
        <f t="shared" si="77"/>
        <v>50.743141917105369</v>
      </c>
      <c r="AS141" s="122"/>
      <c r="AT141" s="59"/>
      <c r="AU141" s="59"/>
      <c r="AV141" s="59"/>
      <c r="AW141" s="59"/>
      <c r="AX141" s="59"/>
      <c r="AY141" s="59"/>
      <c r="AZ141" s="59"/>
      <c r="BA141" s="59"/>
      <c r="BB141" s="59"/>
      <c r="BC141" s="59"/>
      <c r="BD141" s="59"/>
      <c r="BE141" s="59"/>
      <c r="BF141" s="59"/>
      <c r="BG141" s="59"/>
      <c r="BH141" s="59"/>
      <c r="BI141" s="59"/>
      <c r="BJ141" s="59"/>
      <c r="BK141" s="59"/>
      <c r="BL141" s="59"/>
      <c r="BM141" s="59"/>
      <c r="BN141" s="59"/>
      <c r="BO141" s="59"/>
      <c r="BP141" s="59"/>
      <c r="BQ141" s="59"/>
      <c r="BR141" s="59"/>
      <c r="BS141" s="59"/>
      <c r="BT141" s="59"/>
      <c r="BU141" s="59"/>
      <c r="BV141" s="59"/>
    </row>
    <row r="142" spans="1:74" s="125" customFormat="1" ht="21.75" customHeight="1" x14ac:dyDescent="0.35">
      <c r="A142" s="105" t="s">
        <v>392</v>
      </c>
      <c r="B142" s="129" t="s">
        <v>151</v>
      </c>
      <c r="C142" s="140" t="s">
        <v>364</v>
      </c>
      <c r="D142" s="140" t="s">
        <v>362</v>
      </c>
      <c r="E142" s="105" t="s">
        <v>155</v>
      </c>
      <c r="F142" s="140" t="s">
        <v>398</v>
      </c>
      <c r="G142" s="140">
        <v>21110002</v>
      </c>
      <c r="H142" s="130" t="s">
        <v>186</v>
      </c>
      <c r="I142" s="127" t="s">
        <v>161</v>
      </c>
      <c r="J142" s="140" t="s">
        <v>222</v>
      </c>
      <c r="K142" s="140" t="s">
        <v>166</v>
      </c>
      <c r="L142" s="166">
        <v>1</v>
      </c>
      <c r="M142" s="166" t="s">
        <v>167</v>
      </c>
      <c r="N142" s="122"/>
      <c r="O142" s="122"/>
      <c r="P142" s="122"/>
      <c r="Q142" s="122"/>
      <c r="R142" s="122"/>
      <c r="S142" s="110"/>
      <c r="T142" s="142">
        <v>153</v>
      </c>
      <c r="U142" s="142">
        <v>153</v>
      </c>
      <c r="V142" s="142">
        <f t="shared" si="107"/>
        <v>168.47633333333334</v>
      </c>
      <c r="W142" s="110">
        <v>1778</v>
      </c>
      <c r="X142" s="127" t="s">
        <v>112</v>
      </c>
      <c r="Y142" s="83">
        <f t="shared" si="95"/>
        <v>14977.546033333336</v>
      </c>
      <c r="Z142" s="111">
        <f t="shared" si="96"/>
        <v>5991.0184133333332</v>
      </c>
      <c r="AA142" s="122">
        <f t="shared" si="97"/>
        <v>909.09090909090912</v>
      </c>
      <c r="AB142" s="122">
        <f t="shared" si="98"/>
        <v>606.06060606060601</v>
      </c>
      <c r="AC142" s="127" t="s">
        <v>112</v>
      </c>
      <c r="AD142" s="111">
        <f t="shared" si="110"/>
        <v>22483.715961818183</v>
      </c>
      <c r="AE142" s="112">
        <f t="shared" si="99"/>
        <v>12.658155049370079</v>
      </c>
      <c r="AF142" s="124">
        <f t="shared" si="108"/>
        <v>1.66854143232096</v>
      </c>
      <c r="AG142" s="124">
        <f t="shared" si="101"/>
        <v>0.34086648259876601</v>
      </c>
      <c r="AH142" s="113">
        <f t="shared" si="102"/>
        <v>0.21059541666666667</v>
      </c>
      <c r="AI142" s="112">
        <f t="shared" si="65"/>
        <v>0.9475609298837645</v>
      </c>
      <c r="AJ142" s="127" t="s">
        <v>112</v>
      </c>
      <c r="AK142" s="122">
        <f t="shared" si="109"/>
        <v>2.9043333333333332</v>
      </c>
      <c r="AL142" s="127" t="s">
        <v>112</v>
      </c>
      <c r="AM142" s="122">
        <f t="shared" si="104"/>
        <v>22.922180182022704</v>
      </c>
      <c r="AN142" s="127" t="s">
        <v>112</v>
      </c>
      <c r="AO142" s="127" t="s">
        <v>112</v>
      </c>
      <c r="AP142" s="114">
        <f t="shared" si="76"/>
        <v>28.994077776826195</v>
      </c>
      <c r="AQ142" s="122">
        <f t="shared" si="105"/>
        <v>9.0909090909090917</v>
      </c>
      <c r="AR142" s="114">
        <f t="shared" si="77"/>
        <v>50.743141917105369</v>
      </c>
      <c r="AS142" s="122"/>
      <c r="AT142" s="59"/>
      <c r="AU142" s="59"/>
      <c r="AV142" s="59"/>
      <c r="AW142" s="59"/>
      <c r="AX142" s="59"/>
      <c r="AY142" s="59"/>
      <c r="AZ142" s="59"/>
      <c r="BA142" s="59"/>
      <c r="BB142" s="59"/>
      <c r="BC142" s="59"/>
      <c r="BD142" s="59"/>
      <c r="BE142" s="59"/>
      <c r="BF142" s="59"/>
      <c r="BG142" s="59"/>
      <c r="BH142" s="59"/>
      <c r="BI142" s="59"/>
      <c r="BJ142" s="59"/>
      <c r="BK142" s="59"/>
      <c r="BL142" s="59"/>
      <c r="BM142" s="59"/>
      <c r="BN142" s="59"/>
      <c r="BO142" s="59"/>
      <c r="BP142" s="59"/>
      <c r="BQ142" s="59"/>
      <c r="BR142" s="59"/>
      <c r="BS142" s="59"/>
      <c r="BT142" s="59"/>
      <c r="BU142" s="59"/>
      <c r="BV142" s="59"/>
    </row>
    <row r="143" spans="1:74" s="125" customFormat="1" ht="21.75" customHeight="1" x14ac:dyDescent="0.35">
      <c r="A143" s="105" t="s">
        <v>393</v>
      </c>
      <c r="B143" s="129" t="s">
        <v>151</v>
      </c>
      <c r="C143" s="140" t="s">
        <v>364</v>
      </c>
      <c r="D143" s="140" t="s">
        <v>362</v>
      </c>
      <c r="E143" s="105" t="s">
        <v>155</v>
      </c>
      <c r="F143" s="140" t="s">
        <v>398</v>
      </c>
      <c r="G143" s="140">
        <v>21110002</v>
      </c>
      <c r="H143" s="130" t="s">
        <v>186</v>
      </c>
      <c r="I143" s="127" t="s">
        <v>161</v>
      </c>
      <c r="J143" s="140" t="s">
        <v>222</v>
      </c>
      <c r="K143" s="140" t="s">
        <v>166</v>
      </c>
      <c r="L143" s="166">
        <v>1</v>
      </c>
      <c r="M143" s="166" t="s">
        <v>167</v>
      </c>
      <c r="N143" s="122"/>
      <c r="O143" s="122"/>
      <c r="P143" s="122"/>
      <c r="Q143" s="122"/>
      <c r="R143" s="122"/>
      <c r="S143" s="110"/>
      <c r="T143" s="142">
        <v>153</v>
      </c>
      <c r="U143" s="142">
        <v>153</v>
      </c>
      <c r="V143" s="142">
        <f t="shared" si="107"/>
        <v>168.47633333333334</v>
      </c>
      <c r="W143" s="110">
        <v>1778</v>
      </c>
      <c r="X143" s="127" t="s">
        <v>112</v>
      </c>
      <c r="Y143" s="83">
        <f t="shared" si="95"/>
        <v>14977.546033333336</v>
      </c>
      <c r="Z143" s="111">
        <f t="shared" si="96"/>
        <v>5991.0184133333332</v>
      </c>
      <c r="AA143" s="122">
        <f t="shared" si="97"/>
        <v>909.09090909090912</v>
      </c>
      <c r="AB143" s="122">
        <f t="shared" si="98"/>
        <v>606.06060606060601</v>
      </c>
      <c r="AC143" s="127" t="s">
        <v>112</v>
      </c>
      <c r="AD143" s="111">
        <f t="shared" si="110"/>
        <v>22483.715961818183</v>
      </c>
      <c r="AE143" s="112">
        <f t="shared" si="99"/>
        <v>12.658155049370079</v>
      </c>
      <c r="AF143" s="124">
        <f t="shared" si="108"/>
        <v>1.66854143232096</v>
      </c>
      <c r="AG143" s="124">
        <f t="shared" si="101"/>
        <v>0.34086648259876601</v>
      </c>
      <c r="AH143" s="113">
        <f t="shared" si="102"/>
        <v>0.21059541666666667</v>
      </c>
      <c r="AI143" s="112">
        <f t="shared" si="65"/>
        <v>0.9475609298837645</v>
      </c>
      <c r="AJ143" s="127" t="s">
        <v>112</v>
      </c>
      <c r="AK143" s="122">
        <f t="shared" si="109"/>
        <v>2.9043333333333332</v>
      </c>
      <c r="AL143" s="127" t="s">
        <v>112</v>
      </c>
      <c r="AM143" s="122">
        <f t="shared" si="104"/>
        <v>22.922180182022704</v>
      </c>
      <c r="AN143" s="127" t="s">
        <v>112</v>
      </c>
      <c r="AO143" s="127" t="s">
        <v>112</v>
      </c>
      <c r="AP143" s="114">
        <f t="shared" si="76"/>
        <v>28.994077776826195</v>
      </c>
      <c r="AQ143" s="122">
        <f t="shared" si="105"/>
        <v>9.0909090909090917</v>
      </c>
      <c r="AR143" s="114">
        <f t="shared" si="77"/>
        <v>50.743141917105369</v>
      </c>
      <c r="AS143" s="122"/>
      <c r="AT143" s="59"/>
      <c r="AU143" s="59"/>
      <c r="AV143" s="59"/>
      <c r="AW143" s="59"/>
      <c r="AX143" s="59"/>
      <c r="AY143" s="59"/>
      <c r="AZ143" s="59"/>
      <c r="BA143" s="59"/>
      <c r="BB143" s="59"/>
      <c r="BC143" s="59"/>
      <c r="BD143" s="59"/>
      <c r="BE143" s="59"/>
      <c r="BF143" s="59"/>
      <c r="BG143" s="59"/>
      <c r="BH143" s="59"/>
      <c r="BI143" s="59"/>
      <c r="BJ143" s="59"/>
      <c r="BK143" s="59"/>
      <c r="BL143" s="59"/>
      <c r="BM143" s="59"/>
      <c r="BN143" s="59"/>
      <c r="BO143" s="59"/>
      <c r="BP143" s="59"/>
      <c r="BQ143" s="59"/>
      <c r="BR143" s="59"/>
      <c r="BS143" s="59"/>
      <c r="BT143" s="59"/>
      <c r="BU143" s="59"/>
      <c r="BV143" s="59"/>
    </row>
    <row r="144" spans="1:74" s="125" customFormat="1" ht="21.75" customHeight="1" x14ac:dyDescent="0.35">
      <c r="A144" s="105" t="s">
        <v>394</v>
      </c>
      <c r="B144" s="129" t="s">
        <v>151</v>
      </c>
      <c r="C144" s="140" t="s">
        <v>364</v>
      </c>
      <c r="D144" s="140" t="s">
        <v>362</v>
      </c>
      <c r="E144" s="105" t="s">
        <v>155</v>
      </c>
      <c r="F144" s="140" t="s">
        <v>398</v>
      </c>
      <c r="G144" s="140">
        <v>21110002</v>
      </c>
      <c r="H144" s="130" t="s">
        <v>186</v>
      </c>
      <c r="I144" s="127" t="s">
        <v>161</v>
      </c>
      <c r="J144" s="140" t="s">
        <v>222</v>
      </c>
      <c r="K144" s="140" t="s">
        <v>166</v>
      </c>
      <c r="L144" s="166">
        <v>1</v>
      </c>
      <c r="M144" s="166" t="s">
        <v>167</v>
      </c>
      <c r="N144" s="122"/>
      <c r="O144" s="122"/>
      <c r="P144" s="122"/>
      <c r="Q144" s="122"/>
      <c r="R144" s="122"/>
      <c r="S144" s="110"/>
      <c r="T144" s="142">
        <v>153</v>
      </c>
      <c r="U144" s="142">
        <v>153</v>
      </c>
      <c r="V144" s="142">
        <f t="shared" si="107"/>
        <v>168.47633333333334</v>
      </c>
      <c r="W144" s="110">
        <v>1778</v>
      </c>
      <c r="X144" s="127" t="s">
        <v>112</v>
      </c>
      <c r="Y144" s="83">
        <f t="shared" si="95"/>
        <v>14977.546033333336</v>
      </c>
      <c r="Z144" s="111">
        <f t="shared" si="96"/>
        <v>5991.0184133333332</v>
      </c>
      <c r="AA144" s="122">
        <f t="shared" si="97"/>
        <v>909.09090909090912</v>
      </c>
      <c r="AB144" s="122">
        <f t="shared" si="98"/>
        <v>606.06060606060601</v>
      </c>
      <c r="AC144" s="127" t="s">
        <v>112</v>
      </c>
      <c r="AD144" s="111">
        <f t="shared" si="110"/>
        <v>22483.715961818183</v>
      </c>
      <c r="AE144" s="112">
        <f t="shared" si="99"/>
        <v>12.658155049370079</v>
      </c>
      <c r="AF144" s="124">
        <f t="shared" si="108"/>
        <v>1.66854143232096</v>
      </c>
      <c r="AG144" s="124">
        <f t="shared" si="101"/>
        <v>0.34086648259876601</v>
      </c>
      <c r="AH144" s="113">
        <f t="shared" si="102"/>
        <v>0.21059541666666667</v>
      </c>
      <c r="AI144" s="112">
        <f t="shared" si="65"/>
        <v>0.9475609298837645</v>
      </c>
      <c r="AJ144" s="127" t="s">
        <v>112</v>
      </c>
      <c r="AK144" s="122">
        <f t="shared" si="109"/>
        <v>2.9043333333333332</v>
      </c>
      <c r="AL144" s="127" t="s">
        <v>112</v>
      </c>
      <c r="AM144" s="122">
        <f t="shared" si="104"/>
        <v>22.922180182022704</v>
      </c>
      <c r="AN144" s="127" t="s">
        <v>112</v>
      </c>
      <c r="AO144" s="127" t="s">
        <v>112</v>
      </c>
      <c r="AP144" s="114">
        <f t="shared" si="76"/>
        <v>28.994077776826195</v>
      </c>
      <c r="AQ144" s="122">
        <f t="shared" si="105"/>
        <v>9.0909090909090917</v>
      </c>
      <c r="AR144" s="114">
        <f t="shared" si="77"/>
        <v>50.743141917105369</v>
      </c>
      <c r="AS144" s="122"/>
      <c r="AT144" s="59"/>
      <c r="AU144" s="59"/>
      <c r="AV144" s="59"/>
      <c r="AW144" s="59"/>
      <c r="AX144" s="59"/>
      <c r="AY144" s="59"/>
      <c r="AZ144" s="59"/>
      <c r="BA144" s="59"/>
      <c r="BB144" s="59"/>
      <c r="BC144" s="59"/>
      <c r="BD144" s="59"/>
      <c r="BE144" s="59"/>
      <c r="BF144" s="59"/>
      <c r="BG144" s="59"/>
      <c r="BH144" s="59"/>
      <c r="BI144" s="59"/>
      <c r="BJ144" s="59"/>
      <c r="BK144" s="59"/>
      <c r="BL144" s="59"/>
      <c r="BM144" s="59"/>
      <c r="BN144" s="59"/>
      <c r="BO144" s="59"/>
      <c r="BP144" s="59"/>
      <c r="BQ144" s="59"/>
      <c r="BR144" s="59"/>
      <c r="BS144" s="59"/>
      <c r="BT144" s="59"/>
      <c r="BU144" s="59"/>
      <c r="BV144" s="59"/>
    </row>
    <row r="145" spans="1:74" s="125" customFormat="1" ht="21.75" customHeight="1" x14ac:dyDescent="0.35">
      <c r="A145" s="105" t="s">
        <v>395</v>
      </c>
      <c r="B145" s="129" t="s">
        <v>151</v>
      </c>
      <c r="C145" s="140" t="s">
        <v>364</v>
      </c>
      <c r="D145" s="140" t="s">
        <v>362</v>
      </c>
      <c r="E145" s="105" t="s">
        <v>155</v>
      </c>
      <c r="F145" s="140" t="s">
        <v>398</v>
      </c>
      <c r="G145" s="140">
        <v>21110002</v>
      </c>
      <c r="H145" s="130" t="s">
        <v>186</v>
      </c>
      <c r="I145" s="127" t="s">
        <v>161</v>
      </c>
      <c r="J145" s="140" t="s">
        <v>222</v>
      </c>
      <c r="K145" s="140" t="s">
        <v>166</v>
      </c>
      <c r="L145" s="166">
        <v>1</v>
      </c>
      <c r="M145" s="166" t="s">
        <v>167</v>
      </c>
      <c r="N145" s="122"/>
      <c r="O145" s="122"/>
      <c r="P145" s="122"/>
      <c r="Q145" s="122"/>
      <c r="R145" s="122"/>
      <c r="S145" s="110"/>
      <c r="T145" s="142">
        <v>153</v>
      </c>
      <c r="U145" s="142">
        <v>153</v>
      </c>
      <c r="V145" s="142">
        <f t="shared" si="107"/>
        <v>168.47633333333334</v>
      </c>
      <c r="W145" s="110">
        <v>1778</v>
      </c>
      <c r="X145" s="127" t="s">
        <v>112</v>
      </c>
      <c r="Y145" s="83">
        <f t="shared" si="95"/>
        <v>14977.546033333336</v>
      </c>
      <c r="Z145" s="111">
        <f t="shared" si="96"/>
        <v>5991.0184133333332</v>
      </c>
      <c r="AA145" s="122">
        <f t="shared" si="97"/>
        <v>909.09090909090912</v>
      </c>
      <c r="AB145" s="122">
        <f t="shared" si="98"/>
        <v>606.06060606060601</v>
      </c>
      <c r="AC145" s="127" t="s">
        <v>112</v>
      </c>
      <c r="AD145" s="111">
        <f t="shared" si="110"/>
        <v>22483.715961818183</v>
      </c>
      <c r="AE145" s="112">
        <f t="shared" si="99"/>
        <v>12.658155049370079</v>
      </c>
      <c r="AF145" s="124">
        <f t="shared" si="108"/>
        <v>1.66854143232096</v>
      </c>
      <c r="AG145" s="124">
        <f t="shared" si="101"/>
        <v>0.34086648259876601</v>
      </c>
      <c r="AH145" s="113">
        <f t="shared" si="102"/>
        <v>0.21059541666666667</v>
      </c>
      <c r="AI145" s="112">
        <f t="shared" si="65"/>
        <v>0.9475609298837645</v>
      </c>
      <c r="AJ145" s="127" t="s">
        <v>112</v>
      </c>
      <c r="AK145" s="122">
        <f t="shared" si="109"/>
        <v>2.9043333333333332</v>
      </c>
      <c r="AL145" s="127" t="s">
        <v>112</v>
      </c>
      <c r="AM145" s="122">
        <f t="shared" si="104"/>
        <v>22.922180182022704</v>
      </c>
      <c r="AN145" s="127" t="s">
        <v>112</v>
      </c>
      <c r="AO145" s="127" t="s">
        <v>112</v>
      </c>
      <c r="AP145" s="114">
        <f t="shared" si="76"/>
        <v>28.994077776826195</v>
      </c>
      <c r="AQ145" s="122">
        <f t="shared" si="105"/>
        <v>9.0909090909090917</v>
      </c>
      <c r="AR145" s="114">
        <f t="shared" si="77"/>
        <v>50.743141917105369</v>
      </c>
      <c r="AS145" s="122"/>
      <c r="AT145" s="59"/>
      <c r="AU145" s="59"/>
      <c r="AV145" s="59"/>
      <c r="AW145" s="59"/>
      <c r="AX145" s="59"/>
      <c r="AY145" s="59"/>
      <c r="AZ145" s="59"/>
      <c r="BA145" s="59"/>
      <c r="BB145" s="59"/>
      <c r="BC145" s="59"/>
      <c r="BD145" s="59"/>
      <c r="BE145" s="59"/>
      <c r="BF145" s="59"/>
      <c r="BG145" s="59"/>
      <c r="BH145" s="59"/>
      <c r="BI145" s="59"/>
      <c r="BJ145" s="59"/>
      <c r="BK145" s="59"/>
      <c r="BL145" s="59"/>
      <c r="BM145" s="59"/>
      <c r="BN145" s="59"/>
      <c r="BO145" s="59"/>
      <c r="BP145" s="59"/>
      <c r="BQ145" s="59"/>
      <c r="BR145" s="59"/>
      <c r="BS145" s="59"/>
      <c r="BT145" s="59"/>
      <c r="BU145" s="59"/>
      <c r="BV145" s="59"/>
    </row>
    <row r="146" spans="1:74" s="125" customFormat="1" ht="21.75" customHeight="1" x14ac:dyDescent="0.35">
      <c r="A146" s="105" t="s">
        <v>396</v>
      </c>
      <c r="B146" s="129" t="s">
        <v>151</v>
      </c>
      <c r="C146" s="140" t="s">
        <v>364</v>
      </c>
      <c r="D146" s="140" t="s">
        <v>362</v>
      </c>
      <c r="E146" s="105" t="s">
        <v>155</v>
      </c>
      <c r="F146" s="140" t="s">
        <v>398</v>
      </c>
      <c r="G146" s="140">
        <v>21110002</v>
      </c>
      <c r="H146" s="130" t="s">
        <v>186</v>
      </c>
      <c r="I146" s="127" t="s">
        <v>161</v>
      </c>
      <c r="J146" s="140" t="s">
        <v>222</v>
      </c>
      <c r="K146" s="140" t="s">
        <v>166</v>
      </c>
      <c r="L146" s="166">
        <v>1</v>
      </c>
      <c r="M146" s="166" t="s">
        <v>167</v>
      </c>
      <c r="N146" s="122"/>
      <c r="O146" s="122"/>
      <c r="P146" s="122"/>
      <c r="Q146" s="122"/>
      <c r="R146" s="122"/>
      <c r="S146" s="110"/>
      <c r="T146" s="142">
        <v>153</v>
      </c>
      <c r="U146" s="142">
        <v>153</v>
      </c>
      <c r="V146" s="142">
        <f t="shared" si="107"/>
        <v>168.47633333333334</v>
      </c>
      <c r="W146" s="110">
        <v>1778</v>
      </c>
      <c r="X146" s="127" t="s">
        <v>112</v>
      </c>
      <c r="Y146" s="83">
        <f t="shared" si="95"/>
        <v>14977.546033333336</v>
      </c>
      <c r="Z146" s="111">
        <f t="shared" si="96"/>
        <v>5991.0184133333332</v>
      </c>
      <c r="AA146" s="122">
        <f t="shared" si="97"/>
        <v>909.09090909090912</v>
      </c>
      <c r="AB146" s="122">
        <f t="shared" si="98"/>
        <v>606.06060606060601</v>
      </c>
      <c r="AC146" s="127" t="s">
        <v>112</v>
      </c>
      <c r="AD146" s="111">
        <f t="shared" si="110"/>
        <v>22483.715961818183</v>
      </c>
      <c r="AE146" s="112">
        <f t="shared" si="99"/>
        <v>12.658155049370079</v>
      </c>
      <c r="AF146" s="124">
        <f t="shared" si="108"/>
        <v>1.66854143232096</v>
      </c>
      <c r="AG146" s="124">
        <f t="shared" si="101"/>
        <v>0.34086648259876601</v>
      </c>
      <c r="AH146" s="113">
        <f t="shared" si="102"/>
        <v>0.21059541666666667</v>
      </c>
      <c r="AI146" s="112">
        <f t="shared" si="65"/>
        <v>0.9475609298837645</v>
      </c>
      <c r="AJ146" s="127" t="s">
        <v>112</v>
      </c>
      <c r="AK146" s="122">
        <f t="shared" si="109"/>
        <v>2.9043333333333332</v>
      </c>
      <c r="AL146" s="127" t="s">
        <v>112</v>
      </c>
      <c r="AM146" s="122">
        <f t="shared" si="104"/>
        <v>22.922180182022704</v>
      </c>
      <c r="AN146" s="127" t="s">
        <v>112</v>
      </c>
      <c r="AO146" s="127" t="s">
        <v>112</v>
      </c>
      <c r="AP146" s="114">
        <f t="shared" si="76"/>
        <v>28.994077776826195</v>
      </c>
      <c r="AQ146" s="122">
        <f t="shared" si="105"/>
        <v>9.0909090909090917</v>
      </c>
      <c r="AR146" s="114">
        <f t="shared" si="77"/>
        <v>50.743141917105369</v>
      </c>
      <c r="AS146" s="122"/>
      <c r="AT146" s="59"/>
      <c r="AU146" s="59"/>
      <c r="AV146" s="59"/>
      <c r="AW146" s="59"/>
      <c r="AX146" s="59"/>
      <c r="AY146" s="59"/>
      <c r="AZ146" s="59"/>
      <c r="BA146" s="59"/>
      <c r="BB146" s="59"/>
      <c r="BC146" s="59"/>
      <c r="BD146" s="59"/>
      <c r="BE146" s="59"/>
      <c r="BF146" s="59"/>
      <c r="BG146" s="59"/>
      <c r="BH146" s="59"/>
      <c r="BI146" s="59"/>
      <c r="BJ146" s="59"/>
      <c r="BK146" s="59"/>
      <c r="BL146" s="59"/>
      <c r="BM146" s="59"/>
      <c r="BN146" s="59"/>
      <c r="BO146" s="59"/>
      <c r="BP146" s="59"/>
      <c r="BQ146" s="59"/>
      <c r="BR146" s="59"/>
      <c r="BS146" s="59"/>
      <c r="BT146" s="59"/>
      <c r="BU146" s="59"/>
      <c r="BV146" s="59"/>
    </row>
    <row r="147" spans="1:74" ht="21.75" customHeight="1" x14ac:dyDescent="0.35">
      <c r="A147" s="164"/>
      <c r="B147" s="164"/>
      <c r="C147" s="164"/>
      <c r="D147" s="164"/>
      <c r="E147" s="164"/>
      <c r="F147" s="164"/>
      <c r="G147" s="164"/>
      <c r="H147" s="164"/>
      <c r="I147" s="164"/>
      <c r="J147" s="164"/>
      <c r="K147" s="164"/>
      <c r="L147" s="164"/>
      <c r="M147" s="164"/>
      <c r="N147" s="164"/>
      <c r="O147" s="164"/>
      <c r="P147" s="164"/>
      <c r="Q147" s="164"/>
      <c r="R147" s="164"/>
      <c r="S147" s="165"/>
      <c r="T147" s="167">
        <f>SUM(T114:T146)</f>
        <v>41690</v>
      </c>
      <c r="U147" s="167">
        <f t="shared" ref="U147" si="111">SUM(U114:U146)</f>
        <v>41690</v>
      </c>
      <c r="V147" s="167">
        <f t="shared" ref="V147" si="112">SUM(V114:V146)</f>
        <v>45907.099999999962</v>
      </c>
      <c r="W147" s="165"/>
      <c r="X147" s="164"/>
      <c r="Y147" s="167">
        <f t="shared" ref="Y147:Z147" si="113">SUM(Y114:Y146)</f>
        <v>4081141.190000006</v>
      </c>
      <c r="Z147" s="167">
        <f t="shared" si="113"/>
        <v>1632456.4759999965</v>
      </c>
      <c r="AA147" s="167">
        <f t="shared" ref="AA147:AR147" si="114">SUM(AA114:AA146)</f>
        <v>29999.999999999993</v>
      </c>
      <c r="AB147" s="167">
        <f t="shared" si="114"/>
        <v>20000.000000000007</v>
      </c>
      <c r="AC147" s="167">
        <f t="shared" si="114"/>
        <v>0</v>
      </c>
      <c r="AD147" s="167">
        <f t="shared" si="114"/>
        <v>5763597.6660000123</v>
      </c>
      <c r="AE147" s="168">
        <f t="shared" si="114"/>
        <v>3244.8601032992156</v>
      </c>
      <c r="AF147" s="168">
        <f t="shared" si="114"/>
        <v>122.60967379077628</v>
      </c>
      <c r="AG147" s="168">
        <f t="shared" si="114"/>
        <v>11.248593925759286</v>
      </c>
      <c r="AH147" s="168">
        <f t="shared" si="114"/>
        <v>57.383874999999904</v>
      </c>
      <c r="AI147" s="168">
        <f t="shared" si="114"/>
        <v>258.19516310461194</v>
      </c>
      <c r="AJ147" s="168">
        <f t="shared" si="114"/>
        <v>4130</v>
      </c>
      <c r="AK147" s="168">
        <f t="shared" si="114"/>
        <v>87.129999999999953</v>
      </c>
      <c r="AL147" s="168">
        <f t="shared" si="114"/>
        <v>0</v>
      </c>
      <c r="AM147" s="168">
        <f t="shared" si="114"/>
        <v>756.43194600674894</v>
      </c>
      <c r="AN147" s="168">
        <f t="shared" si="114"/>
        <v>0</v>
      </c>
      <c r="AO147" s="168">
        <f t="shared" si="114"/>
        <v>0</v>
      </c>
      <c r="AP147" s="168">
        <f t="shared" si="114"/>
        <v>5422.9992518278932</v>
      </c>
      <c r="AQ147" s="168">
        <f t="shared" si="114"/>
        <v>299.99999999999994</v>
      </c>
      <c r="AR147" s="168">
        <f t="shared" si="114"/>
        <v>8967.8593551271206</v>
      </c>
      <c r="AS147" s="164"/>
    </row>
    <row r="148" spans="1:74" ht="18.75" customHeight="1" x14ac:dyDescent="0.35"/>
  </sheetData>
  <autoFilter ref="A1:CE5"/>
  <mergeCells count="3">
    <mergeCell ref="C2:C4"/>
    <mergeCell ref="C6:C7"/>
    <mergeCell ref="C9:C1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E34"/>
  <sheetViews>
    <sheetView topLeftCell="AK1" zoomScale="95" zoomScaleNormal="95" zoomScaleSheetLayoutView="106" workbookViewId="0">
      <pane ySplit="1" topLeftCell="A8" activePane="bottomLeft" state="frozen"/>
      <selection pane="bottomLeft" activeCell="A14" sqref="A14:XFD17"/>
    </sheetView>
  </sheetViews>
  <sheetFormatPr defaultColWidth="9.1796875" defaultRowHeight="14.5" x14ac:dyDescent="0.35"/>
  <cols>
    <col min="1" max="1" width="25.453125" style="62" customWidth="1"/>
    <col min="2" max="2" width="15.81640625" style="62" customWidth="1"/>
    <col min="3" max="3" width="32.1796875" style="62" customWidth="1"/>
    <col min="4" max="4" width="19.81640625" style="62" customWidth="1"/>
    <col min="5" max="5" width="25.54296875" style="62" customWidth="1"/>
    <col min="6" max="6" width="20.81640625" style="62" customWidth="1"/>
    <col min="7" max="7" width="22.453125" style="62" customWidth="1"/>
    <col min="8" max="8" width="49.26953125" style="62" customWidth="1"/>
    <col min="9" max="9" width="21.81640625" style="62" customWidth="1"/>
    <col min="10" max="10" width="18.26953125" style="62" customWidth="1"/>
    <col min="11" max="11" width="17.54296875" style="62" customWidth="1"/>
    <col min="12" max="12" width="13.26953125" style="62" customWidth="1"/>
    <col min="13" max="13" width="15.54296875" style="62" customWidth="1"/>
    <col min="14" max="14" width="15.1796875" style="62" customWidth="1"/>
    <col min="15" max="15" width="15.7265625" style="62" customWidth="1"/>
    <col min="16" max="16" width="19.26953125" style="62" bestFit="1" customWidth="1"/>
    <col min="17" max="17" width="22.7265625" style="62" customWidth="1"/>
    <col min="18" max="18" width="21.1796875" style="62" customWidth="1"/>
    <col min="19" max="20" width="18.453125" style="63" customWidth="1"/>
    <col min="21" max="21" width="18.81640625" style="63" customWidth="1"/>
    <col min="22" max="22" width="17.453125" style="63" customWidth="1"/>
    <col min="23" max="23" width="15.453125" style="63" customWidth="1"/>
    <col min="24" max="29" width="17.54296875" style="62" customWidth="1"/>
    <col min="30" max="30" width="19.26953125" style="62" customWidth="1"/>
    <col min="31" max="31" width="20.7265625" style="62" customWidth="1"/>
    <col min="32" max="32" width="19.1796875" style="62" customWidth="1"/>
    <col min="33" max="33" width="20.26953125" style="62" customWidth="1"/>
    <col min="34" max="34" width="17.453125" style="62" customWidth="1"/>
    <col min="35" max="35" width="20.7265625" style="62" customWidth="1"/>
    <col min="36" max="36" width="14.26953125" style="62" customWidth="1"/>
    <col min="37" max="37" width="17.81640625" style="62" customWidth="1"/>
    <col min="38" max="38" width="17.26953125" style="62" customWidth="1"/>
    <col min="39" max="39" width="18.453125" style="62" customWidth="1"/>
    <col min="40" max="40" width="19.81640625" style="62" customWidth="1"/>
    <col min="41" max="41" width="18" style="62" customWidth="1"/>
    <col min="42" max="42" width="20.1796875" style="62" customWidth="1"/>
    <col min="43" max="43" width="26" style="62" customWidth="1"/>
    <col min="44" max="44" width="17.54296875" style="62" customWidth="1"/>
    <col min="45" max="45" width="23.26953125" style="61" customWidth="1"/>
    <col min="46" max="69" width="9.1796875" style="59"/>
    <col min="70" max="74" width="9.1796875" style="60"/>
    <col min="75" max="16384" width="9.1796875" style="61"/>
  </cols>
  <sheetData>
    <row r="1" spans="1:83" s="102" customFormat="1" ht="72.75" customHeight="1" x14ac:dyDescent="0.45">
      <c r="A1" s="89" t="s">
        <v>129</v>
      </c>
      <c r="B1" s="89" t="s">
        <v>130</v>
      </c>
      <c r="C1" s="89" t="s">
        <v>131</v>
      </c>
      <c r="D1" s="89" t="s">
        <v>132</v>
      </c>
      <c r="E1" s="90" t="s">
        <v>150</v>
      </c>
      <c r="F1" s="91" t="s">
        <v>133</v>
      </c>
      <c r="G1" s="91" t="s">
        <v>134</v>
      </c>
      <c r="H1" s="91" t="s">
        <v>135</v>
      </c>
      <c r="I1" s="91" t="s">
        <v>136</v>
      </c>
      <c r="J1" s="91" t="s">
        <v>137</v>
      </c>
      <c r="K1" s="91" t="s">
        <v>138</v>
      </c>
      <c r="L1" s="91" t="s">
        <v>139</v>
      </c>
      <c r="M1" s="91" t="s">
        <v>140</v>
      </c>
      <c r="N1" s="90" t="s">
        <v>141</v>
      </c>
      <c r="O1" s="90" t="s">
        <v>142</v>
      </c>
      <c r="P1" s="92" t="s">
        <v>143</v>
      </c>
      <c r="Q1" s="90" t="s">
        <v>144</v>
      </c>
      <c r="R1" s="90" t="s">
        <v>145</v>
      </c>
      <c r="S1" s="90" t="s">
        <v>146</v>
      </c>
      <c r="T1" s="92" t="s">
        <v>147</v>
      </c>
      <c r="U1" s="92" t="s">
        <v>148</v>
      </c>
      <c r="V1" s="92" t="s">
        <v>149</v>
      </c>
      <c r="W1" s="92" t="s">
        <v>107</v>
      </c>
      <c r="X1" s="93" t="s">
        <v>113</v>
      </c>
      <c r="Y1" s="93" t="s">
        <v>114</v>
      </c>
      <c r="Z1" s="93" t="s">
        <v>115</v>
      </c>
      <c r="AA1" s="93" t="s">
        <v>109</v>
      </c>
      <c r="AB1" s="93" t="s">
        <v>117</v>
      </c>
      <c r="AC1" s="93" t="s">
        <v>118</v>
      </c>
      <c r="AD1" s="93" t="s">
        <v>116</v>
      </c>
      <c r="AE1" s="93" t="s">
        <v>125</v>
      </c>
      <c r="AF1" s="94" t="s">
        <v>121</v>
      </c>
      <c r="AG1" s="94" t="s">
        <v>122</v>
      </c>
      <c r="AH1" s="94" t="s">
        <v>108</v>
      </c>
      <c r="AI1" s="94" t="s">
        <v>123</v>
      </c>
      <c r="AJ1" s="95" t="s">
        <v>2</v>
      </c>
      <c r="AK1" s="96" t="s">
        <v>3</v>
      </c>
      <c r="AL1" s="96" t="s">
        <v>124</v>
      </c>
      <c r="AM1" s="96" t="s">
        <v>126</v>
      </c>
      <c r="AN1" s="97" t="s">
        <v>119</v>
      </c>
      <c r="AO1" s="97" t="s">
        <v>120</v>
      </c>
      <c r="AP1" s="93" t="s">
        <v>127</v>
      </c>
      <c r="AQ1" s="97" t="s">
        <v>110</v>
      </c>
      <c r="AR1" s="98" t="s">
        <v>128</v>
      </c>
      <c r="AS1" s="99" t="s">
        <v>106</v>
      </c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</row>
    <row r="2" spans="1:83" s="188" customFormat="1" ht="36.75" customHeight="1" x14ac:dyDescent="0.35">
      <c r="A2" s="130" t="s">
        <v>403</v>
      </c>
      <c r="B2" s="170" t="s">
        <v>151</v>
      </c>
      <c r="C2" s="171" t="s">
        <v>402</v>
      </c>
      <c r="D2" s="130" t="s">
        <v>404</v>
      </c>
      <c r="E2" s="170" t="s">
        <v>155</v>
      </c>
      <c r="F2" s="171" t="s">
        <v>405</v>
      </c>
      <c r="G2" s="171" t="s">
        <v>406</v>
      </c>
      <c r="H2" s="169" t="s">
        <v>407</v>
      </c>
      <c r="I2" s="171">
        <v>3302100327</v>
      </c>
      <c r="J2" s="130" t="s">
        <v>408</v>
      </c>
      <c r="K2" s="130" t="s">
        <v>166</v>
      </c>
      <c r="L2" s="130">
        <v>1</v>
      </c>
      <c r="M2" s="130" t="s">
        <v>167</v>
      </c>
      <c r="N2" s="171" t="s">
        <v>352</v>
      </c>
      <c r="O2" s="171">
        <v>1</v>
      </c>
      <c r="P2" s="171" t="s">
        <v>111</v>
      </c>
      <c r="Q2" s="172">
        <v>44686</v>
      </c>
      <c r="R2" s="173">
        <v>100204153930</v>
      </c>
      <c r="S2" s="174">
        <v>44677</v>
      </c>
      <c r="T2" s="175">
        <v>5644.3</v>
      </c>
      <c r="U2" s="175">
        <v>5644.3</v>
      </c>
      <c r="V2" s="176">
        <v>6419.9</v>
      </c>
      <c r="W2" s="176">
        <v>1850</v>
      </c>
      <c r="X2" s="177" t="s">
        <v>112</v>
      </c>
      <c r="Y2" s="178">
        <f t="shared" ref="Y2" si="0">(X2+(V2*W2))*5%</f>
        <v>593840.75</v>
      </c>
      <c r="Z2" s="159">
        <f t="shared" ref="Z2" si="1">V2*2%*W2</f>
        <v>237536.3</v>
      </c>
      <c r="AA2" s="179">
        <v>30000</v>
      </c>
      <c r="AB2" s="177" t="s">
        <v>112</v>
      </c>
      <c r="AC2" s="177" t="s">
        <v>112</v>
      </c>
      <c r="AD2" s="159">
        <f>X2+Y2+Z2+AA2+AB2+AC2</f>
        <v>861377.05</v>
      </c>
      <c r="AE2" s="180">
        <f>(AD2/W2)+((AD2*0.1%)/W2)</f>
        <v>466.07482543243242</v>
      </c>
      <c r="AF2" s="181">
        <f>(154000/1)/W2</f>
        <v>83.243243243243242</v>
      </c>
      <c r="AG2" s="181">
        <f>(20000/1)/W2</f>
        <v>10.810810810810811</v>
      </c>
      <c r="AH2" s="159">
        <f t="shared" ref="AH2" si="2">V2*0.125%</f>
        <v>8.0248749999999998</v>
      </c>
      <c r="AI2" s="181">
        <f>(V2*10)/W2</f>
        <v>34.702162162162161</v>
      </c>
      <c r="AJ2" s="179">
        <v>715.6</v>
      </c>
      <c r="AK2" s="179">
        <v>60</v>
      </c>
      <c r="AL2" s="177" t="s">
        <v>112</v>
      </c>
      <c r="AM2" s="181">
        <f>(936976/W2)/1</f>
        <v>506.47351351351352</v>
      </c>
      <c r="AN2" s="177" t="s">
        <v>112</v>
      </c>
      <c r="AO2" s="177" t="s">
        <v>112</v>
      </c>
      <c r="AP2" s="182">
        <f t="shared" ref="AP2" si="3">SUM(AF2:AO2)</f>
        <v>1418.8546047297298</v>
      </c>
      <c r="AQ2" s="183">
        <f>(150+50)/1</f>
        <v>200</v>
      </c>
      <c r="AR2" s="184">
        <f t="shared" ref="AR2" si="4">AE2+AP2+AQ2</f>
        <v>2084.9294301621621</v>
      </c>
      <c r="AS2" s="185"/>
      <c r="AT2" s="186"/>
      <c r="AU2" s="186"/>
      <c r="AV2" s="186"/>
      <c r="AW2" s="186"/>
      <c r="AX2" s="186"/>
      <c r="AY2" s="186"/>
      <c r="AZ2" s="186"/>
      <c r="BA2" s="186"/>
      <c r="BB2" s="186"/>
      <c r="BC2" s="186"/>
      <c r="BD2" s="186"/>
      <c r="BE2" s="186"/>
      <c r="BF2" s="186"/>
      <c r="BG2" s="186"/>
      <c r="BH2" s="186"/>
      <c r="BI2" s="186"/>
      <c r="BJ2" s="186"/>
      <c r="BK2" s="186"/>
      <c r="BL2" s="186"/>
      <c r="BM2" s="186"/>
      <c r="BN2" s="186"/>
      <c r="BO2" s="186"/>
      <c r="BP2" s="186"/>
      <c r="BQ2" s="186"/>
      <c r="BR2" s="187"/>
      <c r="BS2" s="187"/>
      <c r="BT2" s="187"/>
      <c r="BU2" s="187"/>
      <c r="BV2" s="187"/>
    </row>
    <row r="3" spans="1:83" s="188" customFormat="1" ht="24" customHeight="1" x14ac:dyDescent="0.35">
      <c r="A3" s="189"/>
      <c r="B3" s="189"/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89"/>
      <c r="R3" s="189"/>
      <c r="S3" s="190"/>
      <c r="T3" s="190"/>
      <c r="U3" s="190"/>
      <c r="V3" s="190"/>
      <c r="W3" s="190"/>
      <c r="X3" s="189"/>
      <c r="Y3" s="189"/>
      <c r="Z3" s="189"/>
      <c r="AA3" s="189"/>
      <c r="AB3" s="189"/>
      <c r="AC3" s="189"/>
      <c r="AD3" s="189"/>
      <c r="AE3" s="189"/>
      <c r="AF3" s="189"/>
      <c r="AG3" s="189"/>
      <c r="AH3" s="189"/>
      <c r="AI3" s="189"/>
      <c r="AJ3" s="189"/>
      <c r="AK3" s="189"/>
      <c r="AL3" s="189"/>
      <c r="AM3" s="189"/>
      <c r="AN3" s="189"/>
      <c r="AO3" s="189"/>
      <c r="AP3" s="189"/>
      <c r="AQ3" s="189"/>
      <c r="AR3" s="189"/>
      <c r="AS3" s="189"/>
      <c r="AT3" s="186"/>
      <c r="AU3" s="186"/>
      <c r="AV3" s="186"/>
      <c r="AW3" s="186"/>
      <c r="AX3" s="186"/>
      <c r="AY3" s="186"/>
      <c r="AZ3" s="186"/>
      <c r="BA3" s="186"/>
      <c r="BB3" s="186"/>
      <c r="BC3" s="186"/>
      <c r="BD3" s="186"/>
      <c r="BE3" s="186"/>
      <c r="BF3" s="186"/>
      <c r="BG3" s="186"/>
      <c r="BH3" s="186"/>
      <c r="BI3" s="186"/>
      <c r="BJ3" s="186"/>
      <c r="BK3" s="186"/>
      <c r="BL3" s="186"/>
      <c r="BM3" s="186"/>
      <c r="BN3" s="186"/>
      <c r="BO3" s="186"/>
      <c r="BP3" s="186"/>
      <c r="BQ3" s="186"/>
      <c r="BR3" s="187"/>
      <c r="BS3" s="187"/>
      <c r="BT3" s="187"/>
      <c r="BU3" s="187"/>
      <c r="BV3" s="187"/>
    </row>
    <row r="4" spans="1:83" s="188" customFormat="1" ht="36.75" customHeight="1" x14ac:dyDescent="0.35">
      <c r="A4" s="130" t="s">
        <v>409</v>
      </c>
      <c r="B4" s="170" t="s">
        <v>151</v>
      </c>
      <c r="C4" s="130" t="s">
        <v>410</v>
      </c>
      <c r="D4" s="191" t="s">
        <v>411</v>
      </c>
      <c r="E4" s="170" t="s">
        <v>155</v>
      </c>
      <c r="F4" s="191" t="s">
        <v>412</v>
      </c>
      <c r="G4" s="191" t="s">
        <v>413</v>
      </c>
      <c r="H4" s="191" t="s">
        <v>414</v>
      </c>
      <c r="I4" s="191" t="s">
        <v>415</v>
      </c>
      <c r="J4" s="191" t="s">
        <v>416</v>
      </c>
      <c r="K4" s="191" t="s">
        <v>417</v>
      </c>
      <c r="L4" s="130">
        <v>1</v>
      </c>
      <c r="M4" s="130" t="s">
        <v>167</v>
      </c>
      <c r="N4" s="171" t="s">
        <v>418</v>
      </c>
      <c r="O4" s="171">
        <v>1</v>
      </c>
      <c r="P4" s="171" t="s">
        <v>111</v>
      </c>
      <c r="Q4" s="192">
        <v>44736</v>
      </c>
      <c r="R4" s="193">
        <v>100210112664</v>
      </c>
      <c r="S4" s="192">
        <v>44732</v>
      </c>
      <c r="T4" s="175">
        <v>16713</v>
      </c>
      <c r="U4" s="175">
        <v>16713</v>
      </c>
      <c r="V4" s="175">
        <v>21285</v>
      </c>
      <c r="W4" s="176">
        <v>1850</v>
      </c>
      <c r="X4" s="178">
        <f>V4*3%*W4</f>
        <v>1181317.5</v>
      </c>
      <c r="Y4" s="178">
        <f t="shared" ref="Y4" si="5">(X4+(V4*W4))*5%</f>
        <v>2027928.375</v>
      </c>
      <c r="Z4" s="159">
        <f t="shared" ref="Z4" si="6">V4*2%*W4</f>
        <v>787545</v>
      </c>
      <c r="AA4" s="179">
        <v>30000</v>
      </c>
      <c r="AB4" s="177" t="s">
        <v>112</v>
      </c>
      <c r="AC4" s="177" t="s">
        <v>112</v>
      </c>
      <c r="AD4" s="159">
        <f>X4+Y4+Z4+AA4+AB4+AC4</f>
        <v>4026790.875</v>
      </c>
      <c r="AE4" s="180">
        <f>(AD4/W4)+((AD4*0.1%)/W4)</f>
        <v>2178.8203599324324</v>
      </c>
      <c r="AF4" s="181">
        <f>(154000/1)/W4</f>
        <v>83.243243243243242</v>
      </c>
      <c r="AG4" s="181">
        <f>(20000/1)/W4</f>
        <v>10.810810810810811</v>
      </c>
      <c r="AH4" s="159">
        <f t="shared" ref="AH4" si="7">V4*0.125%</f>
        <v>26.606249999999999</v>
      </c>
      <c r="AI4" s="181">
        <f>(V4*10)/W4</f>
        <v>115.05405405405405</v>
      </c>
      <c r="AJ4" s="177" t="s">
        <v>112</v>
      </c>
      <c r="AK4" s="177" t="s">
        <v>112</v>
      </c>
      <c r="AL4" s="177" t="s">
        <v>112</v>
      </c>
      <c r="AM4" s="181">
        <f>(2300000/W4)/1</f>
        <v>1243.2432432432433</v>
      </c>
      <c r="AN4" s="177" t="s">
        <v>112</v>
      </c>
      <c r="AO4" s="177" t="s">
        <v>112</v>
      </c>
      <c r="AP4" s="182">
        <f t="shared" ref="AP4" si="8">SUM(AF4:AO4)</f>
        <v>1478.9576013513515</v>
      </c>
      <c r="AQ4" s="183">
        <f>(100+50)/1</f>
        <v>150</v>
      </c>
      <c r="AR4" s="184">
        <f t="shared" ref="AR4" si="9">AE4+AP4+AQ4</f>
        <v>3807.777961283784</v>
      </c>
      <c r="AS4" s="185"/>
      <c r="AT4" s="186"/>
      <c r="AU4" s="186"/>
      <c r="AV4" s="186"/>
      <c r="AW4" s="186"/>
      <c r="AX4" s="186"/>
      <c r="AY4" s="186"/>
      <c r="AZ4" s="186"/>
      <c r="BA4" s="186"/>
      <c r="BB4" s="186"/>
      <c r="BC4" s="186"/>
      <c r="BD4" s="186"/>
      <c r="BE4" s="186"/>
      <c r="BF4" s="186"/>
      <c r="BG4" s="186"/>
      <c r="BH4" s="186"/>
      <c r="BI4" s="186"/>
      <c r="BJ4" s="186"/>
      <c r="BK4" s="186"/>
      <c r="BL4" s="186"/>
      <c r="BM4" s="186"/>
      <c r="BN4" s="186"/>
      <c r="BO4" s="186"/>
      <c r="BP4" s="186"/>
      <c r="BQ4" s="186"/>
      <c r="BR4" s="187"/>
      <c r="BS4" s="187"/>
      <c r="BT4" s="187"/>
      <c r="BU4" s="187"/>
      <c r="BV4" s="187"/>
    </row>
    <row r="5" spans="1:83" s="188" customFormat="1" ht="24" customHeight="1" x14ac:dyDescent="0.35">
      <c r="A5" s="189"/>
      <c r="B5" s="189"/>
      <c r="C5" s="189"/>
      <c r="D5" s="189"/>
      <c r="E5" s="189"/>
      <c r="F5" s="189"/>
      <c r="G5" s="189"/>
      <c r="H5" s="189"/>
      <c r="I5" s="189"/>
      <c r="J5" s="189"/>
      <c r="K5" s="189"/>
      <c r="L5" s="189"/>
      <c r="M5" s="189"/>
      <c r="N5" s="189"/>
      <c r="O5" s="189"/>
      <c r="P5" s="189"/>
      <c r="Q5" s="189"/>
      <c r="R5" s="189"/>
      <c r="S5" s="190"/>
      <c r="T5" s="190"/>
      <c r="U5" s="190"/>
      <c r="V5" s="190"/>
      <c r="W5" s="190"/>
      <c r="X5" s="189"/>
      <c r="Y5" s="189"/>
      <c r="Z5" s="189"/>
      <c r="AA5" s="189"/>
      <c r="AB5" s="189"/>
      <c r="AC5" s="189"/>
      <c r="AD5" s="189"/>
      <c r="AE5" s="189"/>
      <c r="AF5" s="189"/>
      <c r="AG5" s="189"/>
      <c r="AH5" s="189"/>
      <c r="AI5" s="189"/>
      <c r="AJ5" s="189"/>
      <c r="AK5" s="189"/>
      <c r="AL5" s="189"/>
      <c r="AM5" s="189"/>
      <c r="AN5" s="189"/>
      <c r="AO5" s="189"/>
      <c r="AP5" s="189"/>
      <c r="AQ5" s="189"/>
      <c r="AR5" s="189"/>
      <c r="AS5" s="189"/>
      <c r="AT5" s="186"/>
      <c r="AU5" s="186"/>
      <c r="AV5" s="186"/>
      <c r="AW5" s="186"/>
      <c r="AX5" s="186"/>
      <c r="AY5" s="186"/>
      <c r="AZ5" s="186"/>
      <c r="BA5" s="186"/>
      <c r="BB5" s="186"/>
      <c r="BC5" s="186"/>
      <c r="BD5" s="186"/>
      <c r="BE5" s="186"/>
      <c r="BF5" s="186"/>
      <c r="BG5" s="186"/>
      <c r="BH5" s="186"/>
      <c r="BI5" s="186"/>
      <c r="BJ5" s="186"/>
      <c r="BK5" s="186"/>
      <c r="BL5" s="186"/>
      <c r="BM5" s="186"/>
      <c r="BN5" s="186"/>
      <c r="BO5" s="186"/>
      <c r="BP5" s="186"/>
      <c r="BQ5" s="186"/>
      <c r="BR5" s="187"/>
      <c r="BS5" s="187"/>
      <c r="BT5" s="187"/>
      <c r="BU5" s="187"/>
      <c r="BV5" s="187"/>
    </row>
    <row r="6" spans="1:83" s="206" customFormat="1" ht="36.75" customHeight="1" x14ac:dyDescent="0.35">
      <c r="A6" s="130" t="s">
        <v>421</v>
      </c>
      <c r="B6" s="170" t="s">
        <v>151</v>
      </c>
      <c r="C6" s="130" t="s">
        <v>420</v>
      </c>
      <c r="D6" s="194" t="s">
        <v>419</v>
      </c>
      <c r="E6" s="170" t="s">
        <v>155</v>
      </c>
      <c r="F6" s="194" t="s">
        <v>422</v>
      </c>
      <c r="G6" s="194" t="s">
        <v>423</v>
      </c>
      <c r="H6" s="194" t="s">
        <v>414</v>
      </c>
      <c r="I6" s="194" t="s">
        <v>424</v>
      </c>
      <c r="J6" s="194" t="s">
        <v>416</v>
      </c>
      <c r="K6" s="194" t="s">
        <v>417</v>
      </c>
      <c r="L6" s="130">
        <v>1</v>
      </c>
      <c r="M6" s="130" t="s">
        <v>167</v>
      </c>
      <c r="N6" s="171" t="s">
        <v>418</v>
      </c>
      <c r="O6" s="171">
        <v>1</v>
      </c>
      <c r="P6" s="171" t="s">
        <v>111</v>
      </c>
      <c r="Q6" s="192">
        <v>44791</v>
      </c>
      <c r="R6" s="193">
        <v>100215394422</v>
      </c>
      <c r="S6" s="192">
        <v>44783</v>
      </c>
      <c r="T6" s="175">
        <v>15132</v>
      </c>
      <c r="U6" s="175">
        <v>15132</v>
      </c>
      <c r="V6" s="175">
        <v>22020</v>
      </c>
      <c r="W6" s="195">
        <v>1850</v>
      </c>
      <c r="X6" s="170">
        <f>V6*3%*W6</f>
        <v>1222110</v>
      </c>
      <c r="Y6" s="170">
        <f t="shared" ref="Y6" si="10">(X6+(V6*W6))*5%</f>
        <v>2097955.5</v>
      </c>
      <c r="Z6" s="196">
        <f t="shared" ref="Z6" si="11">V6*2%*W6</f>
        <v>814740.00000000012</v>
      </c>
      <c r="AA6" s="171">
        <v>30000</v>
      </c>
      <c r="AB6" s="197" t="s">
        <v>112</v>
      </c>
      <c r="AC6" s="197" t="s">
        <v>112</v>
      </c>
      <c r="AD6" s="196">
        <f>X6+Y6+Z6+AA6+AB6+AC6</f>
        <v>4164805.5</v>
      </c>
      <c r="AE6" s="198">
        <f>(AD6/W6)+((AD6*0.1%)/W6)</f>
        <v>2253.4974624324323</v>
      </c>
      <c r="AF6" s="199">
        <f>(154000/1)/W6</f>
        <v>83.243243243243242</v>
      </c>
      <c r="AG6" s="199">
        <f>(20000/1)/W6</f>
        <v>10.810810810810811</v>
      </c>
      <c r="AH6" s="196">
        <f t="shared" ref="AH6:AH33" si="12">V6*0.125%</f>
        <v>27.525000000000002</v>
      </c>
      <c r="AI6" s="199">
        <f>(V6*10)/W6</f>
        <v>119.02702702702703</v>
      </c>
      <c r="AJ6" s="197" t="s">
        <v>112</v>
      </c>
      <c r="AK6" s="197" t="s">
        <v>112</v>
      </c>
      <c r="AL6" s="197" t="s">
        <v>112</v>
      </c>
      <c r="AM6" s="199">
        <f>(2000000/W6)/1</f>
        <v>1081.081081081081</v>
      </c>
      <c r="AN6" s="197" t="s">
        <v>112</v>
      </c>
      <c r="AO6" s="197" t="s">
        <v>112</v>
      </c>
      <c r="AP6" s="200">
        <f t="shared" ref="AP6:AP24" si="13">SUM(AF6:AO6)</f>
        <v>1321.6871621621622</v>
      </c>
      <c r="AQ6" s="201">
        <f>(100+50)/1</f>
        <v>150</v>
      </c>
      <c r="AR6" s="202">
        <f t="shared" ref="AR6:AR19" si="14">AE6+AP6+AQ6</f>
        <v>3725.1846245945944</v>
      </c>
      <c r="AS6" s="203"/>
      <c r="AT6" s="204"/>
      <c r="AU6" s="204"/>
      <c r="AV6" s="204"/>
      <c r="AW6" s="204"/>
      <c r="AX6" s="204"/>
      <c r="AY6" s="204"/>
      <c r="AZ6" s="204"/>
      <c r="BA6" s="204"/>
      <c r="BB6" s="204"/>
      <c r="BC6" s="204"/>
      <c r="BD6" s="204"/>
      <c r="BE6" s="204"/>
      <c r="BF6" s="204"/>
      <c r="BG6" s="204"/>
      <c r="BH6" s="204"/>
      <c r="BI6" s="204"/>
      <c r="BJ6" s="204"/>
      <c r="BK6" s="204"/>
      <c r="BL6" s="204"/>
      <c r="BM6" s="204"/>
      <c r="BN6" s="204"/>
      <c r="BO6" s="204"/>
      <c r="BP6" s="204"/>
      <c r="BQ6" s="204"/>
      <c r="BR6" s="205"/>
      <c r="BS6" s="205"/>
      <c r="BT6" s="205"/>
      <c r="BU6" s="205"/>
      <c r="BV6" s="205"/>
    </row>
    <row r="7" spans="1:83" s="188" customFormat="1" ht="24" customHeight="1" x14ac:dyDescent="0.35">
      <c r="A7" s="189"/>
      <c r="B7" s="189"/>
      <c r="C7" s="189"/>
      <c r="D7" s="189"/>
      <c r="E7" s="189"/>
      <c r="F7" s="189"/>
      <c r="G7" s="189"/>
      <c r="H7" s="189"/>
      <c r="I7" s="189"/>
      <c r="J7" s="189"/>
      <c r="K7" s="189"/>
      <c r="L7" s="189"/>
      <c r="M7" s="189"/>
      <c r="N7" s="189"/>
      <c r="O7" s="189"/>
      <c r="P7" s="189"/>
      <c r="Q7" s="189"/>
      <c r="R7" s="189"/>
      <c r="S7" s="190"/>
      <c r="T7" s="190"/>
      <c r="U7" s="190"/>
      <c r="V7" s="190"/>
      <c r="W7" s="190"/>
      <c r="X7" s="189"/>
      <c r="Y7" s="189"/>
      <c r="Z7" s="189"/>
      <c r="AA7" s="189"/>
      <c r="AB7" s="189"/>
      <c r="AC7" s="189"/>
      <c r="AD7" s="189"/>
      <c r="AE7" s="189"/>
      <c r="AF7" s="189"/>
      <c r="AG7" s="189"/>
      <c r="AH7" s="189"/>
      <c r="AI7" s="189"/>
      <c r="AJ7" s="189"/>
      <c r="AK7" s="189"/>
      <c r="AL7" s="189"/>
      <c r="AM7" s="189"/>
      <c r="AN7" s="189"/>
      <c r="AO7" s="189"/>
      <c r="AP7" s="189"/>
      <c r="AQ7" s="189"/>
      <c r="AR7" s="189"/>
      <c r="AS7" s="189"/>
      <c r="AT7" s="186"/>
      <c r="AU7" s="186"/>
      <c r="AV7" s="186"/>
      <c r="AW7" s="186"/>
      <c r="AX7" s="186"/>
      <c r="AY7" s="186"/>
      <c r="AZ7" s="186"/>
      <c r="BA7" s="186"/>
      <c r="BB7" s="186"/>
      <c r="BC7" s="186"/>
      <c r="BD7" s="186"/>
      <c r="BE7" s="186"/>
      <c r="BF7" s="186"/>
      <c r="BG7" s="186"/>
      <c r="BH7" s="186"/>
      <c r="BI7" s="186"/>
      <c r="BJ7" s="186"/>
      <c r="BK7" s="186"/>
      <c r="BL7" s="186"/>
      <c r="BM7" s="186"/>
      <c r="BN7" s="186"/>
      <c r="BO7" s="186"/>
      <c r="BP7" s="186"/>
      <c r="BQ7" s="186"/>
      <c r="BR7" s="187"/>
      <c r="BS7" s="187"/>
      <c r="BT7" s="187"/>
      <c r="BU7" s="187"/>
      <c r="BV7" s="187"/>
    </row>
    <row r="8" spans="1:83" s="215" customFormat="1" ht="24.75" customHeight="1" x14ac:dyDescent="0.35">
      <c r="A8" s="130" t="s">
        <v>428</v>
      </c>
      <c r="B8" s="170" t="s">
        <v>151</v>
      </c>
      <c r="C8" s="207" t="s">
        <v>425</v>
      </c>
      <c r="D8" s="208" t="s">
        <v>295</v>
      </c>
      <c r="E8" s="207" t="s">
        <v>432</v>
      </c>
      <c r="F8" s="208" t="s">
        <v>433</v>
      </c>
      <c r="G8" s="208" t="s">
        <v>434</v>
      </c>
      <c r="H8" s="130" t="s">
        <v>427</v>
      </c>
      <c r="I8" s="208" t="s">
        <v>437</v>
      </c>
      <c r="J8" s="207" t="s">
        <v>222</v>
      </c>
      <c r="K8" s="130" t="s">
        <v>166</v>
      </c>
      <c r="L8" s="130">
        <v>1</v>
      </c>
      <c r="M8" s="130" t="s">
        <v>167</v>
      </c>
      <c r="N8" s="290" t="s">
        <v>439</v>
      </c>
      <c r="O8" s="290">
        <v>1</v>
      </c>
      <c r="P8" s="209" t="s">
        <v>111</v>
      </c>
      <c r="Q8" s="192">
        <v>44841</v>
      </c>
      <c r="R8" s="193">
        <v>100221381260</v>
      </c>
      <c r="S8" s="192">
        <v>44840</v>
      </c>
      <c r="T8" s="175">
        <v>11250</v>
      </c>
      <c r="U8" s="175">
        <v>11250</v>
      </c>
      <c r="V8" s="175">
        <f>25650/2</f>
        <v>12825</v>
      </c>
      <c r="W8" s="178">
        <v>2100</v>
      </c>
      <c r="X8" s="210" t="s">
        <v>112</v>
      </c>
      <c r="Y8" s="178">
        <f t="shared" ref="Y8:Y9" si="15">(X8+(V8*W8))*5%</f>
        <v>1346625</v>
      </c>
      <c r="Z8" s="159">
        <f t="shared" ref="Z8:Z15" si="16">V8*2%*W8</f>
        <v>538650</v>
      </c>
      <c r="AA8" s="207">
        <f>60000/2</f>
        <v>30000</v>
      </c>
      <c r="AB8" s="210" t="s">
        <v>112</v>
      </c>
      <c r="AC8" s="210" t="s">
        <v>112</v>
      </c>
      <c r="AD8" s="196">
        <f t="shared" ref="AD8:AD9" si="17">X8+Y8+Z8+AA8+AB8+AC8</f>
        <v>1915275</v>
      </c>
      <c r="AE8" s="180">
        <f t="shared" ref="AE8" si="18">(AD8/W8)+((AD8*0.1%)/W8)</f>
        <v>912.94775000000004</v>
      </c>
      <c r="AF8" s="199">
        <f>(60000+700000+134000+134000/2)/W8</f>
        <v>457.61904761904759</v>
      </c>
      <c r="AG8" s="199">
        <f>(20000/2)/W8</f>
        <v>4.7619047619047619</v>
      </c>
      <c r="AH8" s="196">
        <f t="shared" si="12"/>
        <v>16.03125</v>
      </c>
      <c r="AI8" s="199">
        <f t="shared" ref="AI8:AI19" si="19">(V8*10)/W8</f>
        <v>61.071428571428569</v>
      </c>
      <c r="AJ8" s="207">
        <f>1575/2</f>
        <v>787.5</v>
      </c>
      <c r="AK8" s="207">
        <f>60/2</f>
        <v>30</v>
      </c>
      <c r="AL8" s="210" t="s">
        <v>112</v>
      </c>
      <c r="AM8" s="199">
        <f>(1743050/W8)/2</f>
        <v>415.01190476190476</v>
      </c>
      <c r="AN8" s="210" t="s">
        <v>112</v>
      </c>
      <c r="AO8" s="210" t="s">
        <v>112</v>
      </c>
      <c r="AP8" s="211">
        <f t="shared" si="13"/>
        <v>1771.9955357142858</v>
      </c>
      <c r="AQ8" s="207">
        <f>200/2</f>
        <v>100</v>
      </c>
      <c r="AR8" s="202">
        <f t="shared" si="14"/>
        <v>2784.9432857142856</v>
      </c>
      <c r="AS8" s="212"/>
      <c r="AT8" s="213"/>
      <c r="AU8" s="213"/>
      <c r="AV8" s="213"/>
      <c r="AW8" s="213"/>
      <c r="AX8" s="213"/>
      <c r="AY8" s="213"/>
      <c r="AZ8" s="213"/>
      <c r="BA8" s="213"/>
      <c r="BB8" s="213"/>
      <c r="BC8" s="213"/>
      <c r="BD8" s="213"/>
      <c r="BE8" s="213"/>
      <c r="BF8" s="213"/>
      <c r="BG8" s="213"/>
      <c r="BH8" s="213"/>
      <c r="BI8" s="213"/>
      <c r="BJ8" s="213"/>
      <c r="BK8" s="213"/>
      <c r="BL8" s="213"/>
      <c r="BM8" s="213"/>
      <c r="BN8" s="213"/>
      <c r="BO8" s="213"/>
      <c r="BP8" s="213"/>
      <c r="BQ8" s="213"/>
      <c r="BR8" s="214"/>
      <c r="BS8" s="214"/>
      <c r="BT8" s="214"/>
      <c r="BU8" s="214"/>
      <c r="BV8" s="214"/>
    </row>
    <row r="9" spans="1:83" s="215" customFormat="1" ht="24.75" customHeight="1" x14ac:dyDescent="0.35">
      <c r="A9" s="130" t="s">
        <v>429</v>
      </c>
      <c r="B9" s="170" t="s">
        <v>151</v>
      </c>
      <c r="C9" s="207" t="s">
        <v>425</v>
      </c>
      <c r="D9" s="208" t="s">
        <v>295</v>
      </c>
      <c r="E9" s="207" t="s">
        <v>432</v>
      </c>
      <c r="F9" s="208" t="s">
        <v>433</v>
      </c>
      <c r="G9" s="208" t="s">
        <v>434</v>
      </c>
      <c r="H9" s="130" t="s">
        <v>427</v>
      </c>
      <c r="I9" s="208" t="s">
        <v>438</v>
      </c>
      <c r="J9" s="207" t="s">
        <v>222</v>
      </c>
      <c r="K9" s="130" t="s">
        <v>166</v>
      </c>
      <c r="L9" s="130">
        <v>1</v>
      </c>
      <c r="M9" s="130" t="s">
        <v>167</v>
      </c>
      <c r="N9" s="291"/>
      <c r="O9" s="291"/>
      <c r="P9" s="209"/>
      <c r="Q9" s="207"/>
      <c r="R9" s="207"/>
      <c r="S9" s="178"/>
      <c r="T9" s="175">
        <v>11250</v>
      </c>
      <c r="U9" s="175">
        <v>11250</v>
      </c>
      <c r="V9" s="175">
        <f>25650/2</f>
        <v>12825</v>
      </c>
      <c r="W9" s="178">
        <v>2100</v>
      </c>
      <c r="X9" s="210" t="s">
        <v>112</v>
      </c>
      <c r="Y9" s="178">
        <f t="shared" si="15"/>
        <v>1346625</v>
      </c>
      <c r="Z9" s="159">
        <f t="shared" si="16"/>
        <v>538650</v>
      </c>
      <c r="AA9" s="207">
        <f>60000/2</f>
        <v>30000</v>
      </c>
      <c r="AB9" s="210" t="s">
        <v>112</v>
      </c>
      <c r="AC9" s="210" t="s">
        <v>112</v>
      </c>
      <c r="AD9" s="196">
        <f t="shared" si="17"/>
        <v>1915275</v>
      </c>
      <c r="AE9" s="180">
        <f>(AD9/W9)+((AD9*0.1%)/W9)</f>
        <v>912.94775000000004</v>
      </c>
      <c r="AF9" s="199">
        <f>(60000+700000+134000+134000/2)/W9</f>
        <v>457.61904761904759</v>
      </c>
      <c r="AG9" s="199">
        <f>(20000/2)/W9</f>
        <v>4.7619047619047619</v>
      </c>
      <c r="AH9" s="196">
        <f t="shared" si="12"/>
        <v>16.03125</v>
      </c>
      <c r="AI9" s="199">
        <f t="shared" si="19"/>
        <v>61.071428571428569</v>
      </c>
      <c r="AJ9" s="207">
        <f>1575/2</f>
        <v>787.5</v>
      </c>
      <c r="AK9" s="207">
        <f>60/2</f>
        <v>30</v>
      </c>
      <c r="AL9" s="210" t="s">
        <v>112</v>
      </c>
      <c r="AM9" s="199">
        <f>(1743050/W9)/2</f>
        <v>415.01190476190476</v>
      </c>
      <c r="AN9" s="210" t="s">
        <v>112</v>
      </c>
      <c r="AO9" s="210" t="s">
        <v>112</v>
      </c>
      <c r="AP9" s="211">
        <f t="shared" si="13"/>
        <v>1771.9955357142858</v>
      </c>
      <c r="AQ9" s="207">
        <f>200/2</f>
        <v>100</v>
      </c>
      <c r="AR9" s="202">
        <f t="shared" si="14"/>
        <v>2784.9432857142856</v>
      </c>
      <c r="AS9" s="212"/>
      <c r="AT9" s="213"/>
      <c r="AU9" s="213"/>
      <c r="AV9" s="213"/>
      <c r="AW9" s="213"/>
      <c r="AX9" s="213"/>
      <c r="AY9" s="213"/>
      <c r="AZ9" s="213"/>
      <c r="BA9" s="213"/>
      <c r="BB9" s="213"/>
      <c r="BC9" s="213"/>
      <c r="BD9" s="213"/>
      <c r="BE9" s="213"/>
      <c r="BF9" s="213"/>
      <c r="BG9" s="213"/>
      <c r="BH9" s="213"/>
      <c r="BI9" s="213"/>
      <c r="BJ9" s="213"/>
      <c r="BK9" s="213"/>
      <c r="BL9" s="213"/>
      <c r="BM9" s="213"/>
      <c r="BN9" s="213"/>
      <c r="BO9" s="213"/>
      <c r="BP9" s="213"/>
      <c r="BQ9" s="213"/>
      <c r="BR9" s="214"/>
      <c r="BS9" s="214"/>
      <c r="BT9" s="214"/>
      <c r="BU9" s="214"/>
      <c r="BV9" s="214"/>
    </row>
    <row r="10" spans="1:83" s="215" customFormat="1" ht="24.75" customHeight="1" x14ac:dyDescent="0.35">
      <c r="A10" s="216"/>
      <c r="B10" s="216"/>
      <c r="C10" s="216"/>
      <c r="D10" s="216"/>
      <c r="E10" s="216"/>
      <c r="F10" s="216"/>
      <c r="G10" s="216"/>
      <c r="H10" s="216"/>
      <c r="I10" s="216"/>
      <c r="J10" s="216"/>
      <c r="K10" s="216"/>
      <c r="L10" s="216"/>
      <c r="M10" s="216"/>
      <c r="N10" s="291"/>
      <c r="O10" s="291"/>
      <c r="P10" s="216"/>
      <c r="Q10" s="216"/>
      <c r="R10" s="216"/>
      <c r="S10" s="217"/>
      <c r="T10" s="218">
        <f>SUM(T8:T9)</f>
        <v>22500</v>
      </c>
      <c r="U10" s="218">
        <f>SUM(U8:U9)</f>
        <v>22500</v>
      </c>
      <c r="V10" s="218">
        <f>SUM(V8:V9)</f>
        <v>25650</v>
      </c>
      <c r="W10" s="217"/>
      <c r="X10" s="218">
        <f t="shared" ref="X10:AC10" si="20">SUM(X8:X9)</f>
        <v>0</v>
      </c>
      <c r="Y10" s="216">
        <f t="shared" si="20"/>
        <v>2693250</v>
      </c>
      <c r="Z10" s="216">
        <f t="shared" si="20"/>
        <v>1077300</v>
      </c>
      <c r="AA10" s="216">
        <f t="shared" si="20"/>
        <v>60000</v>
      </c>
      <c r="AB10" s="216">
        <f t="shared" si="20"/>
        <v>0</v>
      </c>
      <c r="AC10" s="216">
        <f t="shared" si="20"/>
        <v>0</v>
      </c>
      <c r="AD10" s="216">
        <f t="shared" ref="AD10:AM10" si="21">SUM(AD8:AD9)</f>
        <v>3830550</v>
      </c>
      <c r="AE10" s="218">
        <f>SUM(AE8:AE9)</f>
        <v>1825.8955000000001</v>
      </c>
      <c r="AF10" s="219">
        <f t="shared" si="21"/>
        <v>915.23809523809518</v>
      </c>
      <c r="AG10" s="219">
        <f t="shared" si="21"/>
        <v>9.5238095238095237</v>
      </c>
      <c r="AH10" s="219">
        <f t="shared" si="21"/>
        <v>32.0625</v>
      </c>
      <c r="AI10" s="219">
        <f t="shared" si="21"/>
        <v>122.14285714285714</v>
      </c>
      <c r="AJ10" s="216">
        <f t="shared" si="21"/>
        <v>1575</v>
      </c>
      <c r="AK10" s="219">
        <f t="shared" si="21"/>
        <v>60</v>
      </c>
      <c r="AL10" s="216">
        <f t="shared" si="21"/>
        <v>0</v>
      </c>
      <c r="AM10" s="216">
        <f t="shared" si="21"/>
        <v>830.02380952380952</v>
      </c>
      <c r="AN10" s="216"/>
      <c r="AO10" s="216"/>
      <c r="AP10" s="216">
        <f>SUM(AP8:AP9)</f>
        <v>3543.9910714285716</v>
      </c>
      <c r="AQ10" s="216">
        <f>SUM(AQ8:AQ9)</f>
        <v>200</v>
      </c>
      <c r="AR10" s="219">
        <f>SUM(AR8:AR9)</f>
        <v>5569.8865714285712</v>
      </c>
      <c r="AS10" s="216"/>
      <c r="AT10" s="213"/>
      <c r="AU10" s="213"/>
      <c r="AV10" s="213"/>
      <c r="AW10" s="213"/>
      <c r="AX10" s="213"/>
      <c r="AY10" s="213"/>
      <c r="AZ10" s="213"/>
      <c r="BA10" s="213"/>
      <c r="BB10" s="213"/>
      <c r="BC10" s="213"/>
      <c r="BD10" s="213"/>
      <c r="BE10" s="213"/>
      <c r="BF10" s="213"/>
      <c r="BG10" s="213"/>
      <c r="BH10" s="213"/>
      <c r="BI10" s="213"/>
      <c r="BJ10" s="213"/>
      <c r="BK10" s="213"/>
      <c r="BL10" s="213"/>
      <c r="BM10" s="213"/>
      <c r="BN10" s="213"/>
      <c r="BO10" s="213"/>
      <c r="BP10" s="213"/>
      <c r="BQ10" s="213"/>
      <c r="BR10" s="214"/>
      <c r="BS10" s="214"/>
      <c r="BT10" s="214"/>
      <c r="BU10" s="214"/>
      <c r="BV10" s="214"/>
    </row>
    <row r="11" spans="1:83" s="215" customFormat="1" ht="24.75" customHeight="1" x14ac:dyDescent="0.35">
      <c r="A11" s="130" t="s">
        <v>430</v>
      </c>
      <c r="B11" s="170" t="s">
        <v>151</v>
      </c>
      <c r="C11" s="207" t="s">
        <v>426</v>
      </c>
      <c r="D11" s="208" t="s">
        <v>295</v>
      </c>
      <c r="E11" s="207" t="s">
        <v>155</v>
      </c>
      <c r="F11" s="208" t="s">
        <v>433</v>
      </c>
      <c r="G11" s="208" t="s">
        <v>434</v>
      </c>
      <c r="H11" s="130" t="s">
        <v>427</v>
      </c>
      <c r="I11" s="208" t="s">
        <v>435</v>
      </c>
      <c r="J11" s="207" t="s">
        <v>222</v>
      </c>
      <c r="K11" s="130" t="s">
        <v>166</v>
      </c>
      <c r="L11" s="130">
        <v>1</v>
      </c>
      <c r="M11" s="130" t="s">
        <v>167</v>
      </c>
      <c r="N11" s="291"/>
      <c r="O11" s="291"/>
      <c r="P11" s="209" t="s">
        <v>111</v>
      </c>
      <c r="Q11" s="192">
        <v>44841</v>
      </c>
      <c r="R11" s="193">
        <v>100221381300</v>
      </c>
      <c r="S11" s="192">
        <v>44840</v>
      </c>
      <c r="T11" s="175">
        <v>11250</v>
      </c>
      <c r="U11" s="175">
        <v>11250</v>
      </c>
      <c r="V11" s="175">
        <f>25650/2</f>
        <v>12825</v>
      </c>
      <c r="W11" s="178">
        <v>2100</v>
      </c>
      <c r="X11" s="210" t="s">
        <v>112</v>
      </c>
      <c r="Y11" s="178">
        <f t="shared" ref="Y11:Y19" si="22">(X11+(V11*W11))*5%</f>
        <v>1346625</v>
      </c>
      <c r="Z11" s="159">
        <f t="shared" si="16"/>
        <v>538650</v>
      </c>
      <c r="AA11" s="207">
        <f>60000/2</f>
        <v>30000</v>
      </c>
      <c r="AB11" s="210" t="s">
        <v>112</v>
      </c>
      <c r="AC11" s="210" t="s">
        <v>112</v>
      </c>
      <c r="AD11" s="196">
        <f t="shared" ref="AD11:AD19" si="23">X11+Y11+Z11+AA11+AB11+AC11</f>
        <v>1915275</v>
      </c>
      <c r="AE11" s="180">
        <f t="shared" ref="AE11:AE19" si="24">(AD11/W11)+((AD11*0.1%)/W11)</f>
        <v>912.94775000000004</v>
      </c>
      <c r="AF11" s="199">
        <f t="shared" ref="AF11:AF12" si="25">(60000+700000+134000+134000/2)/W11</f>
        <v>457.61904761904759</v>
      </c>
      <c r="AG11" s="199">
        <f>(20000/2)/W11</f>
        <v>4.7619047619047619</v>
      </c>
      <c r="AH11" s="196">
        <f t="shared" si="12"/>
        <v>16.03125</v>
      </c>
      <c r="AI11" s="199">
        <f t="shared" si="19"/>
        <v>61.071428571428569</v>
      </c>
      <c r="AJ11" s="207">
        <f t="shared" ref="AJ11" si="26">1575/2</f>
        <v>787.5</v>
      </c>
      <c r="AK11" s="207">
        <f t="shared" ref="AK11:AK12" si="27">60/2</f>
        <v>30</v>
      </c>
      <c r="AL11" s="210" t="s">
        <v>112</v>
      </c>
      <c r="AM11" s="199">
        <f>(1882542/W11)/2</f>
        <v>448.22428571428571</v>
      </c>
      <c r="AN11" s="210" t="s">
        <v>112</v>
      </c>
      <c r="AO11" s="210" t="s">
        <v>112</v>
      </c>
      <c r="AP11" s="211">
        <f t="shared" si="13"/>
        <v>1805.2079166666667</v>
      </c>
      <c r="AQ11" s="207">
        <f t="shared" ref="AQ11" si="28">200/2</f>
        <v>100</v>
      </c>
      <c r="AR11" s="202">
        <f t="shared" si="14"/>
        <v>2818.1556666666665</v>
      </c>
      <c r="AS11" s="212"/>
      <c r="AT11" s="213"/>
      <c r="AU11" s="213"/>
      <c r="AV11" s="213"/>
      <c r="AW11" s="213"/>
      <c r="AX11" s="213"/>
      <c r="AY11" s="213"/>
      <c r="AZ11" s="213"/>
      <c r="BA11" s="213"/>
      <c r="BB11" s="213"/>
      <c r="BC11" s="213"/>
      <c r="BD11" s="213"/>
      <c r="BE11" s="213"/>
      <c r="BF11" s="213"/>
      <c r="BG11" s="213"/>
      <c r="BH11" s="213"/>
      <c r="BI11" s="213"/>
      <c r="BJ11" s="213"/>
      <c r="BK11" s="213"/>
      <c r="BL11" s="213"/>
      <c r="BM11" s="213"/>
      <c r="BN11" s="213"/>
      <c r="BO11" s="213"/>
      <c r="BP11" s="213"/>
      <c r="BQ11" s="213"/>
      <c r="BR11" s="214"/>
      <c r="BS11" s="214"/>
      <c r="BT11" s="214"/>
      <c r="BU11" s="214"/>
      <c r="BV11" s="214"/>
    </row>
    <row r="12" spans="1:83" s="215" customFormat="1" ht="24.75" customHeight="1" x14ac:dyDescent="0.35">
      <c r="A12" s="130" t="s">
        <v>431</v>
      </c>
      <c r="B12" s="170" t="s">
        <v>151</v>
      </c>
      <c r="C12" s="207" t="s">
        <v>426</v>
      </c>
      <c r="D12" s="208" t="s">
        <v>295</v>
      </c>
      <c r="E12" s="207" t="s">
        <v>155</v>
      </c>
      <c r="F12" s="208" t="s">
        <v>433</v>
      </c>
      <c r="G12" s="208" t="s">
        <v>434</v>
      </c>
      <c r="H12" s="130" t="s">
        <v>427</v>
      </c>
      <c r="I12" s="208" t="s">
        <v>436</v>
      </c>
      <c r="J12" s="207" t="s">
        <v>222</v>
      </c>
      <c r="K12" s="130" t="s">
        <v>166</v>
      </c>
      <c r="L12" s="130">
        <v>1</v>
      </c>
      <c r="M12" s="130" t="s">
        <v>167</v>
      </c>
      <c r="N12" s="292"/>
      <c r="O12" s="292"/>
      <c r="P12" s="207"/>
      <c r="Q12" s="207"/>
      <c r="R12" s="207"/>
      <c r="S12" s="178"/>
      <c r="T12" s="175">
        <v>11250</v>
      </c>
      <c r="U12" s="175">
        <v>11250</v>
      </c>
      <c r="V12" s="175">
        <f>25650/2</f>
        <v>12825</v>
      </c>
      <c r="W12" s="178">
        <v>2100</v>
      </c>
      <c r="X12" s="210" t="s">
        <v>112</v>
      </c>
      <c r="Y12" s="178">
        <f t="shared" si="22"/>
        <v>1346625</v>
      </c>
      <c r="Z12" s="159">
        <f t="shared" si="16"/>
        <v>538650</v>
      </c>
      <c r="AA12" s="207">
        <f>60000/2</f>
        <v>30000</v>
      </c>
      <c r="AB12" s="210" t="s">
        <v>112</v>
      </c>
      <c r="AC12" s="210" t="s">
        <v>112</v>
      </c>
      <c r="AD12" s="196">
        <f t="shared" si="23"/>
        <v>1915275</v>
      </c>
      <c r="AE12" s="180">
        <f t="shared" si="24"/>
        <v>912.94775000000004</v>
      </c>
      <c r="AF12" s="199">
        <f t="shared" si="25"/>
        <v>457.61904761904759</v>
      </c>
      <c r="AG12" s="199">
        <f>(20000/2)/W12</f>
        <v>4.7619047619047619</v>
      </c>
      <c r="AH12" s="196">
        <f t="shared" si="12"/>
        <v>16.03125</v>
      </c>
      <c r="AI12" s="199">
        <f t="shared" si="19"/>
        <v>61.071428571428569</v>
      </c>
      <c r="AJ12" s="207">
        <f>1575/2</f>
        <v>787.5</v>
      </c>
      <c r="AK12" s="207">
        <f t="shared" si="27"/>
        <v>30</v>
      </c>
      <c r="AL12" s="210" t="s">
        <v>112</v>
      </c>
      <c r="AM12" s="199">
        <f>(1882542/W12)/2</f>
        <v>448.22428571428571</v>
      </c>
      <c r="AN12" s="210" t="s">
        <v>112</v>
      </c>
      <c r="AO12" s="210" t="s">
        <v>112</v>
      </c>
      <c r="AP12" s="211">
        <f t="shared" si="13"/>
        <v>1805.2079166666667</v>
      </c>
      <c r="AQ12" s="207">
        <f>200/2</f>
        <v>100</v>
      </c>
      <c r="AR12" s="202">
        <f t="shared" si="14"/>
        <v>2818.1556666666665</v>
      </c>
      <c r="AS12" s="212"/>
      <c r="AT12" s="213"/>
      <c r="AU12" s="213"/>
      <c r="AV12" s="213"/>
      <c r="AW12" s="213"/>
      <c r="AX12" s="213"/>
      <c r="AY12" s="213"/>
      <c r="AZ12" s="213"/>
      <c r="BA12" s="213"/>
      <c r="BB12" s="213"/>
      <c r="BC12" s="213"/>
      <c r="BD12" s="213"/>
      <c r="BE12" s="213"/>
      <c r="BF12" s="213"/>
      <c r="BG12" s="213"/>
      <c r="BH12" s="213"/>
      <c r="BI12" s="213"/>
      <c r="BJ12" s="213"/>
      <c r="BK12" s="213"/>
      <c r="BL12" s="213"/>
      <c r="BM12" s="213"/>
      <c r="BN12" s="213"/>
      <c r="BO12" s="213"/>
      <c r="BP12" s="213"/>
      <c r="BQ12" s="213"/>
      <c r="BR12" s="214"/>
      <c r="BS12" s="214"/>
      <c r="BT12" s="214"/>
      <c r="BU12" s="214"/>
      <c r="BV12" s="214"/>
    </row>
    <row r="13" spans="1:83" s="215" customFormat="1" ht="24.75" customHeight="1" x14ac:dyDescent="0.35">
      <c r="A13" s="216"/>
      <c r="B13" s="216"/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16"/>
      <c r="S13" s="217"/>
      <c r="T13" s="218">
        <f>SUM(T11:T12)</f>
        <v>22500</v>
      </c>
      <c r="U13" s="218">
        <f>SUM(U11:U12)</f>
        <v>22500</v>
      </c>
      <c r="V13" s="218">
        <f>SUM(V11:V12)</f>
        <v>25650</v>
      </c>
      <c r="W13" s="217"/>
      <c r="X13" s="218">
        <f t="shared" ref="X13:AC13" si="29">SUM(X11:X12)</f>
        <v>0</v>
      </c>
      <c r="Y13" s="216">
        <f t="shared" si="29"/>
        <v>2693250</v>
      </c>
      <c r="Z13" s="216">
        <f t="shared" si="29"/>
        <v>1077300</v>
      </c>
      <c r="AA13" s="216">
        <f t="shared" si="29"/>
        <v>60000</v>
      </c>
      <c r="AB13" s="216">
        <f t="shared" si="29"/>
        <v>0</v>
      </c>
      <c r="AC13" s="216">
        <f t="shared" si="29"/>
        <v>0</v>
      </c>
      <c r="AD13" s="220">
        <f t="shared" ref="AD13:AK13" si="30">SUM(AD11:AD12)</f>
        <v>3830550</v>
      </c>
      <c r="AE13" s="218">
        <f t="shared" si="30"/>
        <v>1825.8955000000001</v>
      </c>
      <c r="AF13" s="218">
        <f t="shared" si="30"/>
        <v>915.23809523809518</v>
      </c>
      <c r="AG13" s="218">
        <f t="shared" si="30"/>
        <v>9.5238095238095237</v>
      </c>
      <c r="AH13" s="218">
        <f t="shared" si="30"/>
        <v>32.0625</v>
      </c>
      <c r="AI13" s="218">
        <f t="shared" si="30"/>
        <v>122.14285714285714</v>
      </c>
      <c r="AJ13" s="218">
        <f t="shared" si="30"/>
        <v>1575</v>
      </c>
      <c r="AK13" s="218">
        <f t="shared" si="30"/>
        <v>60</v>
      </c>
      <c r="AL13" s="216"/>
      <c r="AM13" s="218">
        <f>SUM(AM11:AM12)</f>
        <v>896.44857142857143</v>
      </c>
      <c r="AN13" s="216"/>
      <c r="AO13" s="216"/>
      <c r="AP13" s="218">
        <f>SUM(AP11:AP12)</f>
        <v>3610.4158333333335</v>
      </c>
      <c r="AQ13" s="218">
        <f>SUM(AQ11:AQ12)</f>
        <v>200</v>
      </c>
      <c r="AR13" s="218">
        <f>SUM(AR11:AR12)</f>
        <v>5636.3113333333331</v>
      </c>
      <c r="AS13" s="216"/>
      <c r="AT13" s="213"/>
      <c r="AU13" s="213"/>
      <c r="AV13" s="213"/>
      <c r="AW13" s="213"/>
      <c r="AX13" s="213"/>
      <c r="AY13" s="213"/>
      <c r="AZ13" s="213"/>
      <c r="BA13" s="213"/>
      <c r="BB13" s="213"/>
      <c r="BC13" s="213"/>
      <c r="BD13" s="213"/>
      <c r="BE13" s="213"/>
      <c r="BF13" s="213"/>
      <c r="BG13" s="213"/>
      <c r="BH13" s="213"/>
      <c r="BI13" s="213"/>
      <c r="BJ13" s="213"/>
      <c r="BK13" s="213"/>
      <c r="BL13" s="213"/>
      <c r="BM13" s="213"/>
      <c r="BN13" s="213"/>
      <c r="BO13" s="213"/>
      <c r="BP13" s="213"/>
      <c r="BQ13" s="213"/>
      <c r="BR13" s="214"/>
      <c r="BS13" s="214"/>
      <c r="BT13" s="214"/>
      <c r="BU13" s="214"/>
      <c r="BV13" s="214"/>
    </row>
    <row r="14" spans="1:83" s="224" customFormat="1" ht="21" customHeight="1" x14ac:dyDescent="0.35">
      <c r="A14" s="105" t="s">
        <v>442</v>
      </c>
      <c r="B14" s="130" t="s">
        <v>151</v>
      </c>
      <c r="C14" s="221" t="s">
        <v>440</v>
      </c>
      <c r="D14" s="140" t="s">
        <v>176</v>
      </c>
      <c r="E14" s="221" t="s">
        <v>155</v>
      </c>
      <c r="F14" s="129" t="s">
        <v>447</v>
      </c>
      <c r="G14" s="140" t="s">
        <v>447</v>
      </c>
      <c r="H14" s="130" t="s">
        <v>427</v>
      </c>
      <c r="I14" s="191" t="s">
        <v>449</v>
      </c>
      <c r="J14" s="191" t="s">
        <v>416</v>
      </c>
      <c r="K14" s="130" t="s">
        <v>166</v>
      </c>
      <c r="L14" s="130">
        <v>1</v>
      </c>
      <c r="M14" s="130" t="s">
        <v>167</v>
      </c>
      <c r="N14" s="222" t="s">
        <v>439</v>
      </c>
      <c r="O14" s="222">
        <v>1</v>
      </c>
      <c r="P14" s="209" t="s">
        <v>111</v>
      </c>
      <c r="Q14" s="192">
        <v>44862</v>
      </c>
      <c r="R14" s="193">
        <v>100223254130</v>
      </c>
      <c r="S14" s="192">
        <v>44860</v>
      </c>
      <c r="T14" s="226">
        <f>1891735*0.008649</f>
        <v>16361.616015000001</v>
      </c>
      <c r="U14" s="226">
        <f>1891735*0.008649</f>
        <v>16361.616015000001</v>
      </c>
      <c r="V14" s="226">
        <f>34694.36/2</f>
        <v>17347.18</v>
      </c>
      <c r="W14" s="178">
        <v>2100</v>
      </c>
      <c r="X14" s="227" t="s">
        <v>112</v>
      </c>
      <c r="Y14" s="178">
        <f t="shared" si="22"/>
        <v>1821453.9000000001</v>
      </c>
      <c r="Z14" s="159">
        <f>V14*2%*W14</f>
        <v>728581.56</v>
      </c>
      <c r="AA14" s="222">
        <f>60000/3</f>
        <v>20000</v>
      </c>
      <c r="AB14" s="227" t="s">
        <v>112</v>
      </c>
      <c r="AC14" s="227" t="s">
        <v>112</v>
      </c>
      <c r="AD14" s="196">
        <f t="shared" si="23"/>
        <v>2570035.46</v>
      </c>
      <c r="AE14" s="180">
        <f t="shared" si="24"/>
        <v>1225.0502359333334</v>
      </c>
      <c r="AF14" s="199">
        <f>(1512000/3)/W14</f>
        <v>240</v>
      </c>
      <c r="AG14" s="199">
        <f>(20000/3)/W14</f>
        <v>3.1746031746031749</v>
      </c>
      <c r="AH14" s="196">
        <f t="shared" si="12"/>
        <v>21.683975</v>
      </c>
      <c r="AI14" s="199">
        <f>(V14*10)/W14</f>
        <v>82.605619047619044</v>
      </c>
      <c r="AJ14" s="228">
        <f>2900/3</f>
        <v>966.66666666666663</v>
      </c>
      <c r="AK14" s="222">
        <f>((T14*110%*0.19%)+10/3)</f>
        <v>37.529110804683341</v>
      </c>
      <c r="AL14" s="227" t="s">
        <v>112</v>
      </c>
      <c r="AM14" s="199">
        <f>(2165275/W14)/3</f>
        <v>343.6944444444444</v>
      </c>
      <c r="AN14" s="227" t="s">
        <v>112</v>
      </c>
      <c r="AO14" s="210" t="s">
        <v>112</v>
      </c>
      <c r="AP14" s="211">
        <f>SUM(AF14:AO14)</f>
        <v>1695.3544191380165</v>
      </c>
      <c r="AQ14" s="222">
        <f>400/3</f>
        <v>133.33333333333334</v>
      </c>
      <c r="AR14" s="202">
        <f t="shared" si="14"/>
        <v>3053.7379884046836</v>
      </c>
      <c r="AS14" s="222"/>
      <c r="AT14" s="186"/>
      <c r="AU14" s="186"/>
      <c r="AV14" s="186"/>
      <c r="AW14" s="186"/>
      <c r="AX14" s="186"/>
      <c r="AY14" s="186"/>
      <c r="AZ14" s="186"/>
      <c r="BA14" s="186"/>
      <c r="BB14" s="186"/>
      <c r="BC14" s="186"/>
      <c r="BD14" s="186"/>
      <c r="BE14" s="186"/>
      <c r="BF14" s="186"/>
      <c r="BG14" s="186"/>
      <c r="BH14" s="186"/>
      <c r="BI14" s="186"/>
      <c r="BJ14" s="186"/>
      <c r="BK14" s="186"/>
      <c r="BL14" s="186"/>
      <c r="BM14" s="186"/>
      <c r="BN14" s="186"/>
      <c r="BO14" s="186"/>
      <c r="BP14" s="186"/>
      <c r="BQ14" s="186"/>
      <c r="BR14" s="186"/>
      <c r="BS14" s="186"/>
      <c r="BT14" s="186"/>
      <c r="BU14" s="186"/>
      <c r="BV14" s="186"/>
    </row>
    <row r="15" spans="1:83" s="224" customFormat="1" ht="21" customHeight="1" x14ac:dyDescent="0.35">
      <c r="A15" s="105" t="s">
        <v>443</v>
      </c>
      <c r="B15" s="130" t="s">
        <v>151</v>
      </c>
      <c r="C15" s="221" t="s">
        <v>440</v>
      </c>
      <c r="D15" s="140" t="s">
        <v>176</v>
      </c>
      <c r="E15" s="221" t="s">
        <v>155</v>
      </c>
      <c r="F15" s="129" t="s">
        <v>447</v>
      </c>
      <c r="G15" s="140" t="s">
        <v>447</v>
      </c>
      <c r="H15" s="130" t="s">
        <v>427</v>
      </c>
      <c r="I15" s="191" t="s">
        <v>450</v>
      </c>
      <c r="J15" s="191" t="s">
        <v>416</v>
      </c>
      <c r="K15" s="130" t="s">
        <v>166</v>
      </c>
      <c r="L15" s="130">
        <v>1</v>
      </c>
      <c r="M15" s="130" t="s">
        <v>167</v>
      </c>
      <c r="N15" s="222"/>
      <c r="O15" s="222"/>
      <c r="P15" s="222"/>
      <c r="Q15" s="222"/>
      <c r="R15" s="222"/>
      <c r="S15" s="223"/>
      <c r="T15" s="226">
        <f>1891735*0.008649</f>
        <v>16361.616015000001</v>
      </c>
      <c r="U15" s="226">
        <f>1891735*0.008649</f>
        <v>16361.616015000001</v>
      </c>
      <c r="V15" s="226">
        <f>34694.36/2</f>
        <v>17347.18</v>
      </c>
      <c r="W15" s="178">
        <v>2100</v>
      </c>
      <c r="X15" s="227" t="s">
        <v>112</v>
      </c>
      <c r="Y15" s="178">
        <f t="shared" si="22"/>
        <v>1821453.9000000001</v>
      </c>
      <c r="Z15" s="159">
        <f t="shared" si="16"/>
        <v>728581.56</v>
      </c>
      <c r="AA15" s="222">
        <f t="shared" ref="AA15:AA16" si="31">60000/3</f>
        <v>20000</v>
      </c>
      <c r="AB15" s="227" t="s">
        <v>112</v>
      </c>
      <c r="AC15" s="227" t="s">
        <v>112</v>
      </c>
      <c r="AD15" s="196">
        <f t="shared" si="23"/>
        <v>2570035.46</v>
      </c>
      <c r="AE15" s="180">
        <f t="shared" si="24"/>
        <v>1225.0502359333334</v>
      </c>
      <c r="AF15" s="199">
        <f t="shared" ref="AF15:AF16" si="32">(1512000/3)/W15</f>
        <v>240</v>
      </c>
      <c r="AG15" s="199">
        <f t="shared" ref="AG15:AG16" si="33">(20000/3)/W15</f>
        <v>3.1746031746031749</v>
      </c>
      <c r="AH15" s="196">
        <f t="shared" si="12"/>
        <v>21.683975</v>
      </c>
      <c r="AI15" s="199">
        <f t="shared" si="19"/>
        <v>82.605619047619044</v>
      </c>
      <c r="AJ15" s="228">
        <f t="shared" ref="AJ15" si="34">2900/3</f>
        <v>966.66666666666663</v>
      </c>
      <c r="AK15" s="222">
        <f t="shared" ref="AK15:AK16" si="35">((T15*110%*0.19%)+10/3)</f>
        <v>37.529110804683341</v>
      </c>
      <c r="AL15" s="227" t="s">
        <v>112</v>
      </c>
      <c r="AM15" s="199">
        <f t="shared" ref="AM15:AM16" si="36">(2165275/W15)/3</f>
        <v>343.6944444444444</v>
      </c>
      <c r="AN15" s="227" t="s">
        <v>112</v>
      </c>
      <c r="AO15" s="210" t="s">
        <v>112</v>
      </c>
      <c r="AP15" s="211">
        <f t="shared" si="13"/>
        <v>1695.3544191380165</v>
      </c>
      <c r="AQ15" s="222">
        <f t="shared" ref="AQ15:AQ16" si="37">400/3</f>
        <v>133.33333333333334</v>
      </c>
      <c r="AR15" s="202">
        <f t="shared" si="14"/>
        <v>3053.7379884046836</v>
      </c>
      <c r="AS15" s="222"/>
      <c r="AT15" s="186"/>
      <c r="AU15" s="186"/>
      <c r="AV15" s="186"/>
      <c r="AW15" s="186"/>
      <c r="AX15" s="186"/>
      <c r="AY15" s="186"/>
      <c r="AZ15" s="186"/>
      <c r="BA15" s="186"/>
      <c r="BB15" s="186"/>
      <c r="BC15" s="186"/>
      <c r="BD15" s="186"/>
      <c r="BE15" s="186"/>
      <c r="BF15" s="186"/>
      <c r="BG15" s="186"/>
      <c r="BH15" s="186"/>
      <c r="BI15" s="186"/>
      <c r="BJ15" s="186"/>
      <c r="BK15" s="186"/>
      <c r="BL15" s="186"/>
      <c r="BM15" s="186"/>
      <c r="BN15" s="186"/>
      <c r="BO15" s="186"/>
      <c r="BP15" s="186"/>
      <c r="BQ15" s="186"/>
      <c r="BR15" s="186"/>
      <c r="BS15" s="186"/>
      <c r="BT15" s="186"/>
      <c r="BU15" s="186"/>
      <c r="BV15" s="186"/>
    </row>
    <row r="16" spans="1:83" s="125" customFormat="1" ht="21" customHeight="1" x14ac:dyDescent="0.35">
      <c r="A16" s="105" t="s">
        <v>444</v>
      </c>
      <c r="B16" s="130" t="s">
        <v>151</v>
      </c>
      <c r="C16" s="221" t="s">
        <v>440</v>
      </c>
      <c r="D16" s="140" t="s">
        <v>171</v>
      </c>
      <c r="E16" s="221" t="s">
        <v>155</v>
      </c>
      <c r="F16" s="129" t="s">
        <v>482</v>
      </c>
      <c r="G16" s="140" t="s">
        <v>447</v>
      </c>
      <c r="H16" s="130" t="s">
        <v>427</v>
      </c>
      <c r="I16" s="191" t="s">
        <v>451</v>
      </c>
      <c r="J16" s="191" t="s">
        <v>416</v>
      </c>
      <c r="K16" s="130" t="s">
        <v>166</v>
      </c>
      <c r="L16" s="130">
        <v>1</v>
      </c>
      <c r="M16" s="130" t="s">
        <v>167</v>
      </c>
      <c r="N16" s="122"/>
      <c r="O16" s="122"/>
      <c r="P16" s="122"/>
      <c r="Q16" s="122"/>
      <c r="R16" s="122"/>
      <c r="S16" s="110"/>
      <c r="T16" s="226">
        <f>2224082*0.008649</f>
        <v>19236.085218</v>
      </c>
      <c r="U16" s="226">
        <f>2224082*0.008649</f>
        <v>19236.085218</v>
      </c>
      <c r="V16" s="226">
        <v>20394.23</v>
      </c>
      <c r="W16" s="178">
        <v>2100</v>
      </c>
      <c r="X16" s="227" t="s">
        <v>112</v>
      </c>
      <c r="Y16" s="178">
        <f t="shared" si="22"/>
        <v>2141394.15</v>
      </c>
      <c r="Z16" s="159">
        <f>V16*2%*W16</f>
        <v>856557.65999999992</v>
      </c>
      <c r="AA16" s="222">
        <f t="shared" si="31"/>
        <v>20000</v>
      </c>
      <c r="AB16" s="227" t="s">
        <v>112</v>
      </c>
      <c r="AC16" s="227" t="s">
        <v>112</v>
      </c>
      <c r="AD16" s="196">
        <f>X16+Y16+Z16+AA16+AB16+AC16</f>
        <v>3017951.8099999996</v>
      </c>
      <c r="AE16" s="180">
        <f t="shared" si="24"/>
        <v>1438.5570294333331</v>
      </c>
      <c r="AF16" s="199">
        <f t="shared" si="32"/>
        <v>240</v>
      </c>
      <c r="AG16" s="199">
        <f t="shared" si="33"/>
        <v>3.1746031746031749</v>
      </c>
      <c r="AH16" s="196">
        <f t="shared" si="12"/>
        <v>25.492787499999999</v>
      </c>
      <c r="AI16" s="199">
        <f t="shared" si="19"/>
        <v>97.115380952380946</v>
      </c>
      <c r="AJ16" s="228">
        <f>2900/3</f>
        <v>966.66666666666663</v>
      </c>
      <c r="AK16" s="222">
        <f t="shared" si="35"/>
        <v>43.536751438953338</v>
      </c>
      <c r="AL16" s="227" t="s">
        <v>112</v>
      </c>
      <c r="AM16" s="199">
        <f t="shared" si="36"/>
        <v>343.6944444444444</v>
      </c>
      <c r="AN16" s="227" t="s">
        <v>112</v>
      </c>
      <c r="AO16" s="210" t="s">
        <v>112</v>
      </c>
      <c r="AP16" s="211">
        <f>SUM(AF16:AO16)</f>
        <v>1719.6806341770484</v>
      </c>
      <c r="AQ16" s="222">
        <f t="shared" si="37"/>
        <v>133.33333333333334</v>
      </c>
      <c r="AR16" s="202">
        <f>AE16+AP16+AQ16</f>
        <v>3291.5709969437153</v>
      </c>
      <c r="AS16" s="122"/>
      <c r="AT16" s="59"/>
      <c r="AU16" s="59"/>
      <c r="AV16" s="59"/>
      <c r="AW16" s="59"/>
      <c r="AX16" s="59"/>
      <c r="AY16" s="59"/>
      <c r="AZ16" s="59"/>
      <c r="BA16" s="59"/>
      <c r="BB16" s="59"/>
      <c r="BC16" s="59"/>
      <c r="BD16" s="59"/>
      <c r="BE16" s="59"/>
      <c r="BF16" s="59"/>
      <c r="BG16" s="59"/>
      <c r="BH16" s="59"/>
      <c r="BI16" s="59"/>
      <c r="BJ16" s="59"/>
      <c r="BK16" s="59"/>
      <c r="BL16" s="59"/>
      <c r="BM16" s="59"/>
      <c r="BN16" s="59"/>
      <c r="BO16" s="59"/>
      <c r="BP16" s="59"/>
      <c r="BQ16" s="59"/>
      <c r="BR16" s="59"/>
      <c r="BS16" s="59"/>
      <c r="BT16" s="59"/>
      <c r="BU16" s="59"/>
      <c r="BV16" s="59"/>
    </row>
    <row r="17" spans="1:74" ht="21" customHeight="1" x14ac:dyDescent="0.35">
      <c r="A17" s="116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7"/>
      <c r="T17" s="155">
        <f>SUM(T14:T16)</f>
        <v>51959.317248000007</v>
      </c>
      <c r="U17" s="155">
        <f>SUM(U14:U16)</f>
        <v>51959.317248000007</v>
      </c>
      <c r="V17" s="155">
        <f>SUM(V14:V16)</f>
        <v>55088.59</v>
      </c>
      <c r="W17" s="117"/>
      <c r="X17" s="116"/>
      <c r="Y17" s="116">
        <f>SUM(Y14:Y16)</f>
        <v>5784301.9500000002</v>
      </c>
      <c r="Z17" s="119">
        <f>SUM(Z14:Z16)</f>
        <v>2313720.7800000003</v>
      </c>
      <c r="AA17" s="119">
        <f>SUM(AA14:AA16)</f>
        <v>60000</v>
      </c>
      <c r="AB17" s="116"/>
      <c r="AC17" s="116"/>
      <c r="AD17" s="119">
        <f>SUM(AD14:AD16)</f>
        <v>8158022.7299999995</v>
      </c>
      <c r="AE17" s="119">
        <f>SUM(AE14:AE16)</f>
        <v>3888.6575013000001</v>
      </c>
      <c r="AF17" s="119">
        <f>SUM(AF14:AF16)</f>
        <v>720</v>
      </c>
      <c r="AG17" s="119">
        <f>SUM(AG14:AG16)</f>
        <v>9.5238095238095255</v>
      </c>
      <c r="AH17" s="119">
        <f t="shared" ref="AH17:AJ17" si="38">SUM(AH14:AH16)</f>
        <v>68.860737499999999</v>
      </c>
      <c r="AI17" s="119">
        <f t="shared" si="38"/>
        <v>262.32661904761903</v>
      </c>
      <c r="AJ17" s="119">
        <f t="shared" si="38"/>
        <v>2900</v>
      </c>
      <c r="AK17" s="119">
        <f>SUM(AK14:AK16)</f>
        <v>118.59497304832001</v>
      </c>
      <c r="AL17" s="116"/>
      <c r="AM17" s="126">
        <f>SUM(AM14:AM16)</f>
        <v>1031.0833333333333</v>
      </c>
      <c r="AN17" s="116"/>
      <c r="AO17" s="116"/>
      <c r="AP17" s="126">
        <f>SUM(AP14:AP16)</f>
        <v>5110.3894724530819</v>
      </c>
      <c r="AQ17" s="148">
        <f>SUM(AQ14:AQ16)</f>
        <v>400</v>
      </c>
      <c r="AR17" s="116">
        <f>SUM(AR14:AR16)</f>
        <v>9399.0469737530821</v>
      </c>
      <c r="AS17" s="116"/>
    </row>
    <row r="18" spans="1:74" s="125" customFormat="1" ht="21" customHeight="1" x14ac:dyDescent="0.35">
      <c r="A18" s="105" t="s">
        <v>445</v>
      </c>
      <c r="B18" s="130" t="s">
        <v>151</v>
      </c>
      <c r="C18" s="221" t="s">
        <v>441</v>
      </c>
      <c r="D18" s="140" t="s">
        <v>176</v>
      </c>
      <c r="E18" s="221" t="s">
        <v>155</v>
      </c>
      <c r="F18" s="129" t="s">
        <v>448</v>
      </c>
      <c r="G18" s="140" t="s">
        <v>448</v>
      </c>
      <c r="H18" s="130" t="s">
        <v>427</v>
      </c>
      <c r="I18" s="191" t="s">
        <v>452</v>
      </c>
      <c r="J18" s="191" t="s">
        <v>416</v>
      </c>
      <c r="K18" s="130" t="s">
        <v>166</v>
      </c>
      <c r="L18" s="130">
        <v>1</v>
      </c>
      <c r="M18" s="130" t="s">
        <v>167</v>
      </c>
      <c r="N18" s="122" t="s">
        <v>454</v>
      </c>
      <c r="O18" s="225">
        <v>1</v>
      </c>
      <c r="P18" s="209" t="s">
        <v>111</v>
      </c>
      <c r="Q18" s="192">
        <v>44862</v>
      </c>
      <c r="R18" s="193">
        <v>100223248420</v>
      </c>
      <c r="S18" s="192">
        <v>44860</v>
      </c>
      <c r="T18" s="226">
        <f>2021046*0.008649</f>
        <v>17480.026854</v>
      </c>
      <c r="U18" s="226">
        <f>2021046*0.008649</f>
        <v>17480.026854</v>
      </c>
      <c r="V18" s="142">
        <f>37038.1/2</f>
        <v>18519.05</v>
      </c>
      <c r="W18" s="178">
        <v>2100</v>
      </c>
      <c r="X18" s="227" t="s">
        <v>112</v>
      </c>
      <c r="Y18" s="178">
        <f t="shared" si="22"/>
        <v>1944500.25</v>
      </c>
      <c r="Z18" s="159">
        <f t="shared" ref="Z18:Z19" si="39">V18*2%*W18</f>
        <v>777800.1</v>
      </c>
      <c r="AA18" s="122">
        <f>60000/2</f>
        <v>30000</v>
      </c>
      <c r="AB18" s="127" t="s">
        <v>112</v>
      </c>
      <c r="AC18" s="127" t="s">
        <v>112</v>
      </c>
      <c r="AD18" s="196">
        <f t="shared" si="23"/>
        <v>2752300.35</v>
      </c>
      <c r="AE18" s="180">
        <f>(AD18/W18)+((AD18*0.1%)/W18)</f>
        <v>1311.9298335000001</v>
      </c>
      <c r="AF18" s="199">
        <f>(658000/2)/W18</f>
        <v>156.66666666666666</v>
      </c>
      <c r="AG18" s="199">
        <f>(20000/2)/W18</f>
        <v>4.7619047619047619</v>
      </c>
      <c r="AH18" s="196">
        <f t="shared" si="12"/>
        <v>23.148812499999998</v>
      </c>
      <c r="AI18" s="199">
        <f t="shared" si="19"/>
        <v>88.185952380952386</v>
      </c>
      <c r="AJ18" s="122">
        <f>1900/2</f>
        <v>950</v>
      </c>
      <c r="AK18" s="222">
        <f>((T18*110%*0.19%)+10/2)</f>
        <v>41.533256124860003</v>
      </c>
      <c r="AL18" s="127" t="s">
        <v>112</v>
      </c>
      <c r="AM18" s="199">
        <f>((243600+1484000)/W18)/2</f>
        <v>411.33333333333331</v>
      </c>
      <c r="AN18" s="127" t="s">
        <v>112</v>
      </c>
      <c r="AO18" s="210" t="s">
        <v>112</v>
      </c>
      <c r="AP18" s="211">
        <f t="shared" si="13"/>
        <v>1675.6299257677169</v>
      </c>
      <c r="AQ18" s="122">
        <f>300/2</f>
        <v>150</v>
      </c>
      <c r="AR18" s="202">
        <f t="shared" si="14"/>
        <v>3137.5597592677168</v>
      </c>
      <c r="AS18" s="122"/>
      <c r="AT18" s="59"/>
      <c r="AU18" s="59"/>
      <c r="AV18" s="59"/>
      <c r="AW18" s="59"/>
      <c r="AX18" s="59"/>
      <c r="AY18" s="59"/>
      <c r="AZ18" s="59"/>
      <c r="BA18" s="59"/>
      <c r="BB18" s="59"/>
      <c r="BC18" s="59"/>
      <c r="BD18" s="59"/>
      <c r="BE18" s="59"/>
      <c r="BF18" s="59"/>
      <c r="BG18" s="59"/>
      <c r="BH18" s="59"/>
      <c r="BI18" s="59"/>
      <c r="BJ18" s="59"/>
      <c r="BK18" s="59"/>
      <c r="BL18" s="59"/>
      <c r="BM18" s="59"/>
      <c r="BN18" s="59"/>
      <c r="BO18" s="59"/>
      <c r="BP18" s="59"/>
      <c r="BQ18" s="59"/>
      <c r="BR18" s="59"/>
      <c r="BS18" s="59"/>
      <c r="BT18" s="59"/>
      <c r="BU18" s="59"/>
      <c r="BV18" s="59"/>
    </row>
    <row r="19" spans="1:74" s="125" customFormat="1" ht="21" customHeight="1" x14ac:dyDescent="0.35">
      <c r="A19" s="105" t="s">
        <v>446</v>
      </c>
      <c r="B19" s="130" t="s">
        <v>151</v>
      </c>
      <c r="C19" s="221" t="s">
        <v>441</v>
      </c>
      <c r="D19" s="140" t="s">
        <v>176</v>
      </c>
      <c r="E19" s="221" t="s">
        <v>155</v>
      </c>
      <c r="F19" s="129" t="s">
        <v>448</v>
      </c>
      <c r="G19" s="140" t="s">
        <v>448</v>
      </c>
      <c r="H19" s="130" t="s">
        <v>427</v>
      </c>
      <c r="I19" s="191" t="s">
        <v>453</v>
      </c>
      <c r="J19" s="191" t="s">
        <v>416</v>
      </c>
      <c r="K19" s="130" t="s">
        <v>166</v>
      </c>
      <c r="L19" s="130">
        <v>1</v>
      </c>
      <c r="M19" s="130" t="s">
        <v>167</v>
      </c>
      <c r="N19" s="122"/>
      <c r="O19" s="122"/>
      <c r="P19" s="122"/>
      <c r="Q19" s="122"/>
      <c r="R19" s="122"/>
      <c r="S19" s="110"/>
      <c r="T19" s="226">
        <f>2021046*0.008649</f>
        <v>17480.026854</v>
      </c>
      <c r="U19" s="226">
        <f>2021046*0.008649</f>
        <v>17480.026854</v>
      </c>
      <c r="V19" s="142">
        <f>37038.1/2</f>
        <v>18519.05</v>
      </c>
      <c r="W19" s="178">
        <v>2100</v>
      </c>
      <c r="X19" s="227" t="s">
        <v>112</v>
      </c>
      <c r="Y19" s="178">
        <f t="shared" si="22"/>
        <v>1944500.25</v>
      </c>
      <c r="Z19" s="159">
        <f t="shared" si="39"/>
        <v>777800.1</v>
      </c>
      <c r="AA19" s="122">
        <f>60000/2</f>
        <v>30000</v>
      </c>
      <c r="AB19" s="127" t="s">
        <v>112</v>
      </c>
      <c r="AC19" s="127" t="s">
        <v>112</v>
      </c>
      <c r="AD19" s="196">
        <f t="shared" si="23"/>
        <v>2752300.35</v>
      </c>
      <c r="AE19" s="180">
        <f t="shared" si="24"/>
        <v>1311.9298335000001</v>
      </c>
      <c r="AF19" s="199">
        <f>(658000/2)/W19</f>
        <v>156.66666666666666</v>
      </c>
      <c r="AG19" s="199">
        <f>(20000/2)/W19</f>
        <v>4.7619047619047619</v>
      </c>
      <c r="AH19" s="196">
        <f t="shared" si="12"/>
        <v>23.148812499999998</v>
      </c>
      <c r="AI19" s="199">
        <f t="shared" si="19"/>
        <v>88.185952380952386</v>
      </c>
      <c r="AJ19" s="122">
        <f>1900/2</f>
        <v>950</v>
      </c>
      <c r="AK19" s="222">
        <f>((T19*110%*0.19%)+10/2)</f>
        <v>41.533256124860003</v>
      </c>
      <c r="AL19" s="127" t="s">
        <v>112</v>
      </c>
      <c r="AM19" s="199">
        <f>((243600+1484000)/W19)/2</f>
        <v>411.33333333333331</v>
      </c>
      <c r="AN19" s="127" t="s">
        <v>112</v>
      </c>
      <c r="AO19" s="210" t="s">
        <v>112</v>
      </c>
      <c r="AP19" s="211">
        <f t="shared" si="13"/>
        <v>1675.6299257677169</v>
      </c>
      <c r="AQ19" s="122">
        <f>300/2</f>
        <v>150</v>
      </c>
      <c r="AR19" s="202">
        <f t="shared" si="14"/>
        <v>3137.5597592677168</v>
      </c>
      <c r="AS19" s="122"/>
      <c r="AT19" s="59"/>
      <c r="AU19" s="59"/>
      <c r="AV19" s="59"/>
      <c r="AW19" s="59"/>
      <c r="AX19" s="59"/>
      <c r="AY19" s="59"/>
      <c r="AZ19" s="59"/>
      <c r="BA19" s="59"/>
      <c r="BB19" s="59"/>
      <c r="BC19" s="59"/>
      <c r="BD19" s="59"/>
      <c r="BE19" s="59"/>
      <c r="BF19" s="59"/>
      <c r="BG19" s="59"/>
      <c r="BH19" s="59"/>
      <c r="BI19" s="59"/>
      <c r="BJ19" s="59"/>
      <c r="BK19" s="59"/>
      <c r="BL19" s="59"/>
      <c r="BM19" s="59"/>
      <c r="BN19" s="59"/>
      <c r="BO19" s="59"/>
      <c r="BP19" s="59"/>
      <c r="BQ19" s="59"/>
      <c r="BR19" s="59"/>
      <c r="BS19" s="59"/>
      <c r="BT19" s="59"/>
      <c r="BU19" s="59"/>
      <c r="BV19" s="59"/>
    </row>
    <row r="20" spans="1:74" ht="21" customHeight="1" x14ac:dyDescent="0.35">
      <c r="A20" s="116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7"/>
      <c r="T20" s="155">
        <f>SUM(T18:T19)</f>
        <v>34960.053707999999</v>
      </c>
      <c r="U20" s="155">
        <f>SUM(U18:U19)</f>
        <v>34960.053707999999</v>
      </c>
      <c r="V20" s="155">
        <f>SUM(V18:V19)</f>
        <v>37038.1</v>
      </c>
      <c r="W20" s="117"/>
      <c r="X20" s="116"/>
      <c r="Y20" s="116">
        <f>SUM(Y18:Y19)</f>
        <v>3889000.5</v>
      </c>
      <c r="Z20" s="116">
        <f>SUM(Z18:Z19)</f>
        <v>1555600.2</v>
      </c>
      <c r="AA20" s="116">
        <f>SUM(AA18:AA19)</f>
        <v>60000</v>
      </c>
      <c r="AB20" s="116"/>
      <c r="AC20" s="116"/>
      <c r="AD20" s="116">
        <f>SUM(AD18:AD19)</f>
        <v>5504600.7000000002</v>
      </c>
      <c r="AE20" s="116">
        <f>SUM(AE18:AE19)</f>
        <v>2623.8596670000002</v>
      </c>
      <c r="AF20" s="126">
        <f>SUM(AF18:AF19)</f>
        <v>313.33333333333331</v>
      </c>
      <c r="AG20" s="126">
        <f>SUM(AG18:AG19)</f>
        <v>9.5238095238095237</v>
      </c>
      <c r="AH20" s="126">
        <f t="shared" ref="AH20:AK20" si="40">SUM(AH18:AH19)</f>
        <v>46.297624999999996</v>
      </c>
      <c r="AI20" s="126">
        <f t="shared" si="40"/>
        <v>176.37190476190477</v>
      </c>
      <c r="AJ20" s="126">
        <f t="shared" si="40"/>
        <v>1900</v>
      </c>
      <c r="AK20" s="126">
        <f t="shared" si="40"/>
        <v>83.066512249720006</v>
      </c>
      <c r="AL20" s="116"/>
      <c r="AM20" s="126">
        <f>SUM(AM18:AM19)</f>
        <v>822.66666666666663</v>
      </c>
      <c r="AN20" s="116"/>
      <c r="AO20" s="116"/>
      <c r="AP20" s="126">
        <f>SUM(AP18:AP19)</f>
        <v>3351.2598515354339</v>
      </c>
      <c r="AQ20" s="148">
        <f>SUM(AQ18:AQ19)</f>
        <v>300</v>
      </c>
      <c r="AR20" s="116">
        <f>SUM(AR18:AR19)</f>
        <v>6275.1195185354336</v>
      </c>
      <c r="AS20" s="116"/>
    </row>
    <row r="21" spans="1:74" s="224" customFormat="1" ht="21" customHeight="1" x14ac:dyDescent="0.35">
      <c r="A21" s="130" t="s">
        <v>456</v>
      </c>
      <c r="B21" s="130" t="s">
        <v>151</v>
      </c>
      <c r="C21" s="221" t="s">
        <v>455</v>
      </c>
      <c r="D21" s="223" t="s">
        <v>411</v>
      </c>
      <c r="E21" s="221" t="s">
        <v>155</v>
      </c>
      <c r="F21" s="129" t="s">
        <v>457</v>
      </c>
      <c r="G21" s="223" t="s">
        <v>457</v>
      </c>
      <c r="H21" s="130" t="s">
        <v>414</v>
      </c>
      <c r="I21" s="191" t="s">
        <v>458</v>
      </c>
      <c r="J21" s="191" t="s">
        <v>416</v>
      </c>
      <c r="K21" s="130" t="s">
        <v>417</v>
      </c>
      <c r="L21" s="130">
        <v>1</v>
      </c>
      <c r="M21" s="130" t="s">
        <v>167</v>
      </c>
      <c r="N21" s="171" t="s">
        <v>418</v>
      </c>
      <c r="O21" s="171">
        <v>1</v>
      </c>
      <c r="P21" s="171" t="s">
        <v>111</v>
      </c>
      <c r="Q21" s="192">
        <v>44875</v>
      </c>
      <c r="R21" s="193">
        <v>100224376933</v>
      </c>
      <c r="S21" s="192">
        <v>44870</v>
      </c>
      <c r="T21" s="229">
        <v>16571</v>
      </c>
      <c r="U21" s="229">
        <v>16571</v>
      </c>
      <c r="V21" s="230">
        <v>20285</v>
      </c>
      <c r="W21" s="178">
        <v>2100</v>
      </c>
      <c r="X21" s="170">
        <f>V21*3%*W21</f>
        <v>1277955</v>
      </c>
      <c r="Y21" s="178">
        <f t="shared" ref="Y21" si="41">(X21+(V21*W21))*5%</f>
        <v>2193822.75</v>
      </c>
      <c r="Z21" s="159">
        <f t="shared" ref="Z21" si="42">V21*2%*W21</f>
        <v>851970</v>
      </c>
      <c r="AA21" s="222">
        <f>60000/2</f>
        <v>30000</v>
      </c>
      <c r="AB21" s="227" t="s">
        <v>112</v>
      </c>
      <c r="AC21" s="227" t="s">
        <v>112</v>
      </c>
      <c r="AD21" s="196">
        <f t="shared" ref="AD21" si="43">X21+Y21+Z21+AA21+AB21+AC21</f>
        <v>4353747.75</v>
      </c>
      <c r="AE21" s="180">
        <f t="shared" ref="AE21" si="44">(AD21/W21)+((AD21*0.1%)/W21)</f>
        <v>2075.2864275000002</v>
      </c>
      <c r="AF21" s="199">
        <f>(154000/1)/W21</f>
        <v>73.333333333333329</v>
      </c>
      <c r="AG21" s="199">
        <f>(20000/1)/W21</f>
        <v>9.5238095238095237</v>
      </c>
      <c r="AH21" s="196">
        <f t="shared" si="12"/>
        <v>25.356249999999999</v>
      </c>
      <c r="AI21" s="199">
        <f t="shared" ref="AI21:AI33" si="45">(V21*10)/W21</f>
        <v>96.595238095238102</v>
      </c>
      <c r="AJ21" s="227">
        <v>0</v>
      </c>
      <c r="AK21" s="222">
        <v>0</v>
      </c>
      <c r="AL21" s="227" t="s">
        <v>112</v>
      </c>
      <c r="AM21" s="199">
        <f>(2650000/W21)/1</f>
        <v>1261.9047619047619</v>
      </c>
      <c r="AN21" s="227" t="s">
        <v>112</v>
      </c>
      <c r="AO21" s="210" t="s">
        <v>112</v>
      </c>
      <c r="AP21" s="211">
        <f t="shared" si="13"/>
        <v>1466.7133928571429</v>
      </c>
      <c r="AQ21" s="222">
        <f>50+100</f>
        <v>150</v>
      </c>
      <c r="AR21" s="202">
        <f t="shared" ref="AR21" si="46">AE21+AP21+AQ21</f>
        <v>3691.9998203571431</v>
      </c>
      <c r="AS21" s="222"/>
      <c r="AT21" s="186"/>
      <c r="AU21" s="186"/>
      <c r="AV21" s="186"/>
      <c r="AW21" s="186"/>
      <c r="AX21" s="186"/>
      <c r="AY21" s="186"/>
      <c r="AZ21" s="186"/>
      <c r="BA21" s="186"/>
      <c r="BB21" s="186"/>
      <c r="BC21" s="186"/>
      <c r="BD21" s="186"/>
      <c r="BE21" s="186"/>
      <c r="BF21" s="186"/>
      <c r="BG21" s="186"/>
      <c r="BH21" s="186"/>
      <c r="BI21" s="186"/>
      <c r="BJ21" s="186"/>
      <c r="BK21" s="186"/>
      <c r="BL21" s="186"/>
      <c r="BM21" s="186"/>
      <c r="BN21" s="186"/>
      <c r="BO21" s="186"/>
      <c r="BP21" s="186"/>
      <c r="BQ21" s="186"/>
      <c r="BR21" s="186"/>
      <c r="BS21" s="186"/>
      <c r="BT21" s="186"/>
      <c r="BU21" s="186"/>
      <c r="BV21" s="186"/>
    </row>
    <row r="22" spans="1:74" ht="21" customHeight="1" x14ac:dyDescent="0.35">
      <c r="A22" s="116"/>
      <c r="B22" s="116"/>
      <c r="C22" s="116"/>
      <c r="D22" s="116"/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7"/>
      <c r="T22" s="155"/>
      <c r="U22" s="155"/>
      <c r="V22" s="155"/>
      <c r="W22" s="117"/>
      <c r="X22" s="116"/>
      <c r="Y22" s="116"/>
      <c r="Z22" s="116"/>
      <c r="AA22" s="116"/>
      <c r="AB22" s="116"/>
      <c r="AC22" s="116"/>
      <c r="AD22" s="116"/>
      <c r="AE22" s="116"/>
      <c r="AF22" s="126"/>
      <c r="AG22" s="126"/>
      <c r="AH22" s="126"/>
      <c r="AI22" s="126"/>
      <c r="AJ22" s="126"/>
      <c r="AK22" s="126"/>
      <c r="AL22" s="116"/>
      <c r="AM22" s="126"/>
      <c r="AN22" s="116"/>
      <c r="AO22" s="116"/>
      <c r="AP22" s="126"/>
      <c r="AQ22" s="148"/>
      <c r="AR22" s="116"/>
      <c r="AS22" s="116"/>
    </row>
    <row r="23" spans="1:74" s="125" customFormat="1" ht="25.5" customHeight="1" x14ac:dyDescent="0.35">
      <c r="A23" s="105" t="s">
        <v>459</v>
      </c>
      <c r="B23" s="130" t="s">
        <v>151</v>
      </c>
      <c r="C23" s="122" t="s">
        <v>461</v>
      </c>
      <c r="D23" s="122" t="s">
        <v>464</v>
      </c>
      <c r="E23" s="221" t="s">
        <v>155</v>
      </c>
      <c r="F23" s="129" t="s">
        <v>481</v>
      </c>
      <c r="G23" s="129" t="s">
        <v>463</v>
      </c>
      <c r="H23" s="122" t="s">
        <v>462</v>
      </c>
      <c r="I23" s="122" t="s">
        <v>465</v>
      </c>
      <c r="J23" s="122" t="s">
        <v>467</v>
      </c>
      <c r="K23" s="130" t="s">
        <v>166</v>
      </c>
      <c r="L23" s="130">
        <v>1</v>
      </c>
      <c r="M23" s="130" t="s">
        <v>167</v>
      </c>
      <c r="N23" s="222" t="s">
        <v>439</v>
      </c>
      <c r="O23" s="222">
        <v>2</v>
      </c>
      <c r="P23" s="231" t="s">
        <v>111</v>
      </c>
      <c r="Q23" s="192">
        <v>44957</v>
      </c>
      <c r="R23" s="193">
        <v>100232391120</v>
      </c>
      <c r="S23" s="192">
        <v>44956</v>
      </c>
      <c r="T23" s="226">
        <v>47469</v>
      </c>
      <c r="U23" s="226">
        <v>47469</v>
      </c>
      <c r="V23" s="133">
        <f>99046.45/2</f>
        <v>49523.224999999999</v>
      </c>
      <c r="W23" s="232">
        <v>2100</v>
      </c>
      <c r="X23" s="127" t="s">
        <v>112</v>
      </c>
      <c r="Y23" s="178">
        <f t="shared" ref="Y23:Y24" si="47">(X23+(V23*W23))*5%</f>
        <v>5199938.625</v>
      </c>
      <c r="Z23" s="159">
        <f t="shared" ref="Z23:Z24" si="48">V23*2%*W23</f>
        <v>2079975.4500000002</v>
      </c>
      <c r="AA23" s="122">
        <f>30000/2</f>
        <v>15000</v>
      </c>
      <c r="AB23" s="127" t="s">
        <v>112</v>
      </c>
      <c r="AC23" s="127" t="s">
        <v>112</v>
      </c>
      <c r="AD23" s="196">
        <f t="shared" ref="AD23:AD24" si="49">X23+Y23+Z23+AA23+AB23+AC23</f>
        <v>7294914.0750000002</v>
      </c>
      <c r="AE23" s="180">
        <f t="shared" ref="AE23:AE24" si="50">(AD23/W23)+((AD23*0.1%)/W23)</f>
        <v>3477.2423757500001</v>
      </c>
      <c r="AF23" s="122">
        <f>(2308000/2)/W23</f>
        <v>549.52380952380952</v>
      </c>
      <c r="AG23" s="199">
        <f>(20000/2)/W23</f>
        <v>4.7619047619047619</v>
      </c>
      <c r="AH23" s="196">
        <f t="shared" si="12"/>
        <v>61.904031250000003</v>
      </c>
      <c r="AI23" s="199">
        <f t="shared" si="45"/>
        <v>235.82488095238097</v>
      </c>
      <c r="AJ23" s="122">
        <f>3900/2</f>
        <v>1950</v>
      </c>
      <c r="AK23" s="222">
        <f>((T23*110%*0.19%)+10/2)</f>
        <v>104.21021</v>
      </c>
      <c r="AL23" s="127" t="s">
        <v>112</v>
      </c>
      <c r="AM23" s="199">
        <f>((3114800+653100)/W23)/2</f>
        <v>897.11904761904759</v>
      </c>
      <c r="AN23" s="127" t="s">
        <v>112</v>
      </c>
      <c r="AO23" s="210" t="s">
        <v>112</v>
      </c>
      <c r="AP23" s="211">
        <f t="shared" si="13"/>
        <v>3803.3438841071429</v>
      </c>
      <c r="AQ23" s="122">
        <f>550/2</f>
        <v>275</v>
      </c>
      <c r="AR23" s="202">
        <f t="shared" ref="AR23:AR33" si="51">AE23+AP23+AQ23</f>
        <v>7555.586259857143</v>
      </c>
      <c r="AS23" s="122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</row>
    <row r="24" spans="1:74" s="125" customFormat="1" ht="25.5" customHeight="1" x14ac:dyDescent="0.35">
      <c r="A24" s="105" t="s">
        <v>460</v>
      </c>
      <c r="B24" s="130" t="s">
        <v>151</v>
      </c>
      <c r="C24" s="122" t="s">
        <v>461</v>
      </c>
      <c r="D24" s="122" t="s">
        <v>464</v>
      </c>
      <c r="E24" s="221" t="s">
        <v>155</v>
      </c>
      <c r="F24" s="129" t="s">
        <v>481</v>
      </c>
      <c r="G24" s="129" t="s">
        <v>463</v>
      </c>
      <c r="H24" s="122" t="s">
        <v>462</v>
      </c>
      <c r="I24" s="122" t="s">
        <v>466</v>
      </c>
      <c r="J24" s="122" t="s">
        <v>467</v>
      </c>
      <c r="K24" s="130" t="s">
        <v>166</v>
      </c>
      <c r="L24" s="130">
        <v>1</v>
      </c>
      <c r="M24" s="130" t="s">
        <v>167</v>
      </c>
      <c r="N24" s="122"/>
      <c r="O24" s="122"/>
      <c r="P24" s="122"/>
      <c r="Q24" s="122"/>
      <c r="R24" s="122"/>
      <c r="S24" s="110"/>
      <c r="T24" s="226">
        <v>47469</v>
      </c>
      <c r="U24" s="226">
        <v>47469</v>
      </c>
      <c r="V24" s="133">
        <f>99046.45/2</f>
        <v>49523.224999999999</v>
      </c>
      <c r="W24" s="232">
        <v>2100</v>
      </c>
      <c r="X24" s="127" t="s">
        <v>112</v>
      </c>
      <c r="Y24" s="178">
        <f t="shared" si="47"/>
        <v>5199938.625</v>
      </c>
      <c r="Z24" s="159">
        <f t="shared" si="48"/>
        <v>2079975.4500000002</v>
      </c>
      <c r="AA24" s="122">
        <f>30000/2</f>
        <v>15000</v>
      </c>
      <c r="AB24" s="127" t="s">
        <v>112</v>
      </c>
      <c r="AC24" s="127" t="s">
        <v>112</v>
      </c>
      <c r="AD24" s="196">
        <f t="shared" si="49"/>
        <v>7294914.0750000002</v>
      </c>
      <c r="AE24" s="180">
        <f t="shared" si="50"/>
        <v>3477.2423757500001</v>
      </c>
      <c r="AF24" s="122">
        <f>(2308000/2)/W24</f>
        <v>549.52380952380952</v>
      </c>
      <c r="AG24" s="199">
        <f>(20000/2)/W24</f>
        <v>4.7619047619047619</v>
      </c>
      <c r="AH24" s="196">
        <f t="shared" si="12"/>
        <v>61.904031250000003</v>
      </c>
      <c r="AI24" s="199">
        <f t="shared" si="45"/>
        <v>235.82488095238097</v>
      </c>
      <c r="AJ24" s="122">
        <f>3900/2</f>
        <v>1950</v>
      </c>
      <c r="AK24" s="222">
        <f>((T24*110%*0.19%)+10/2)</f>
        <v>104.21021</v>
      </c>
      <c r="AL24" s="127" t="s">
        <v>112</v>
      </c>
      <c r="AM24" s="199">
        <f>((3114800+653100)/W24)/2</f>
        <v>897.11904761904759</v>
      </c>
      <c r="AN24" s="127" t="s">
        <v>112</v>
      </c>
      <c r="AO24" s="210" t="s">
        <v>112</v>
      </c>
      <c r="AP24" s="211">
        <f t="shared" si="13"/>
        <v>3803.3438841071429</v>
      </c>
      <c r="AQ24" s="122">
        <f>550/2</f>
        <v>275</v>
      </c>
      <c r="AR24" s="202">
        <f t="shared" si="51"/>
        <v>7555.586259857143</v>
      </c>
      <c r="AS24" s="122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</row>
    <row r="25" spans="1:74" ht="20.25" customHeight="1" x14ac:dyDescent="0.35">
      <c r="A25" s="116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7"/>
      <c r="T25" s="117"/>
      <c r="U25" s="117"/>
      <c r="V25" s="117"/>
      <c r="W25" s="117"/>
      <c r="X25" s="116"/>
      <c r="Y25" s="116"/>
      <c r="Z25" s="116"/>
      <c r="AA25" s="116"/>
      <c r="AB25" s="116"/>
      <c r="AC25" s="116"/>
      <c r="AD25" s="116"/>
      <c r="AE25" s="116"/>
      <c r="AF25" s="116"/>
      <c r="AG25" s="116"/>
      <c r="AH25" s="116"/>
      <c r="AI25" s="116"/>
      <c r="AJ25" s="116"/>
      <c r="AK25" s="116"/>
      <c r="AL25" s="116"/>
      <c r="AM25" s="116"/>
      <c r="AN25" s="116"/>
      <c r="AO25" s="116"/>
      <c r="AP25" s="116"/>
      <c r="AQ25" s="116"/>
      <c r="AR25" s="116"/>
      <c r="AS25" s="116"/>
    </row>
    <row r="26" spans="1:74" ht="20.25" customHeight="1" x14ac:dyDescent="0.35">
      <c r="A26" s="105" t="s">
        <v>469</v>
      </c>
      <c r="B26" s="130" t="s">
        <v>151</v>
      </c>
      <c r="C26" s="129" t="s">
        <v>468</v>
      </c>
      <c r="D26" s="129" t="s">
        <v>470</v>
      </c>
      <c r="E26" s="221" t="s">
        <v>155</v>
      </c>
      <c r="F26" s="129" t="s">
        <v>480</v>
      </c>
      <c r="G26" s="129" t="s">
        <v>471</v>
      </c>
      <c r="H26" s="129" t="s">
        <v>472</v>
      </c>
      <c r="I26" s="83">
        <v>30155347</v>
      </c>
      <c r="J26" s="129" t="s">
        <v>473</v>
      </c>
      <c r="K26" s="83" t="s">
        <v>166</v>
      </c>
      <c r="L26" s="234">
        <v>1</v>
      </c>
      <c r="M26" s="130" t="s">
        <v>167</v>
      </c>
      <c r="N26" s="160" t="s">
        <v>352</v>
      </c>
      <c r="O26" s="160">
        <v>1</v>
      </c>
      <c r="P26" s="160" t="s">
        <v>474</v>
      </c>
      <c r="Q26" s="109">
        <v>44959</v>
      </c>
      <c r="R26" s="233">
        <v>100232748450</v>
      </c>
      <c r="S26" s="109">
        <v>44959</v>
      </c>
      <c r="T26" s="133">
        <v>22751.86</v>
      </c>
      <c r="U26" s="133">
        <v>22751.86</v>
      </c>
      <c r="V26" s="133">
        <v>23639.06</v>
      </c>
      <c r="W26" s="161">
        <v>2100</v>
      </c>
      <c r="X26" s="170">
        <f>V26*3%*W26</f>
        <v>1489260.78</v>
      </c>
      <c r="Y26" s="178">
        <f t="shared" ref="Y26" si="52">(X26+(V26*W26))*5%</f>
        <v>2556564.3390000002</v>
      </c>
      <c r="Z26" s="159">
        <f t="shared" ref="Z26" si="53">V26*2%*W26</f>
        <v>992840.52</v>
      </c>
      <c r="AA26" s="160">
        <v>30000</v>
      </c>
      <c r="AB26" s="163" t="s">
        <v>112</v>
      </c>
      <c r="AC26" s="163" t="s">
        <v>112</v>
      </c>
      <c r="AD26" s="196">
        <f>X26+Y26+Z26+AA26+AB26+AC26</f>
        <v>5068665.6390000004</v>
      </c>
      <c r="AE26" s="180">
        <f t="shared" ref="AE26" si="54">(AD26/W26)+((AD26*0.1%)/W26)</f>
        <v>2416.0639545899999</v>
      </c>
      <c r="AF26" s="122">
        <f>(1000000+84000+60000/1)/W26</f>
        <v>544.76190476190482</v>
      </c>
      <c r="AG26" s="199">
        <f>(20000/1)/W26</f>
        <v>9.5238095238095237</v>
      </c>
      <c r="AH26" s="196">
        <f t="shared" si="12"/>
        <v>29.548825000000001</v>
      </c>
      <c r="AI26" s="199">
        <f t="shared" si="45"/>
        <v>112.56695238095239</v>
      </c>
      <c r="AJ26" s="122">
        <f>827/1</f>
        <v>827</v>
      </c>
      <c r="AK26" s="160">
        <v>60</v>
      </c>
      <c r="AL26" s="163" t="s">
        <v>112</v>
      </c>
      <c r="AM26" s="199">
        <f>((1220700+252270)/W26)/1</f>
        <v>701.41428571428571</v>
      </c>
      <c r="AN26" s="163" t="s">
        <v>112</v>
      </c>
      <c r="AO26" s="163" t="s">
        <v>112</v>
      </c>
      <c r="AP26" s="211">
        <f>SUM(AF26:AO26)</f>
        <v>2284.8157773809526</v>
      </c>
      <c r="AQ26" s="160">
        <f>50+150+50</f>
        <v>250</v>
      </c>
      <c r="AR26" s="202">
        <f t="shared" si="51"/>
        <v>4950.879731970952</v>
      </c>
      <c r="AS26" s="162"/>
    </row>
    <row r="27" spans="1:74" ht="20.25" customHeight="1" x14ac:dyDescent="0.35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7"/>
      <c r="T27" s="117"/>
      <c r="U27" s="117"/>
      <c r="V27" s="117"/>
      <c r="W27" s="117"/>
      <c r="X27" s="116"/>
      <c r="Y27" s="116"/>
      <c r="Z27" s="116"/>
      <c r="AA27" s="116"/>
      <c r="AB27" s="116"/>
      <c r="AC27" s="116"/>
      <c r="AD27" s="116"/>
      <c r="AE27" s="116"/>
      <c r="AF27" s="116"/>
      <c r="AG27" s="116"/>
      <c r="AH27" s="116"/>
      <c r="AI27" s="116"/>
      <c r="AJ27" s="116"/>
      <c r="AK27" s="116"/>
      <c r="AL27" s="116"/>
      <c r="AM27" s="116"/>
      <c r="AN27" s="116"/>
      <c r="AO27" s="116"/>
      <c r="AP27" s="116"/>
      <c r="AQ27" s="116"/>
      <c r="AR27" s="116"/>
      <c r="AS27" s="116"/>
    </row>
    <row r="28" spans="1:74" s="125" customFormat="1" ht="20.25" customHeight="1" x14ac:dyDescent="0.35">
      <c r="A28" s="105" t="s">
        <v>476</v>
      </c>
      <c r="B28" s="122" t="s">
        <v>151</v>
      </c>
      <c r="C28" s="129" t="s">
        <v>475</v>
      </c>
      <c r="D28" s="129" t="s">
        <v>171</v>
      </c>
      <c r="E28" s="221" t="s">
        <v>155</v>
      </c>
      <c r="F28" s="129" t="s">
        <v>478</v>
      </c>
      <c r="G28" s="129" t="s">
        <v>483</v>
      </c>
      <c r="H28" s="130" t="s">
        <v>427</v>
      </c>
      <c r="I28" s="129" t="s">
        <v>485</v>
      </c>
      <c r="J28" s="223" t="s">
        <v>416</v>
      </c>
      <c r="K28" s="130" t="s">
        <v>166</v>
      </c>
      <c r="L28" s="130">
        <v>1</v>
      </c>
      <c r="M28" s="130" t="s">
        <v>167</v>
      </c>
      <c r="N28" s="122" t="s">
        <v>454</v>
      </c>
      <c r="O28" s="122">
        <v>1</v>
      </c>
      <c r="P28" s="122" t="s">
        <v>111</v>
      </c>
      <c r="Q28" s="109">
        <v>44978</v>
      </c>
      <c r="R28" s="233">
        <v>100233981410</v>
      </c>
      <c r="S28" s="109">
        <v>44972</v>
      </c>
      <c r="T28" s="226">
        <v>14486</v>
      </c>
      <c r="U28" s="226">
        <v>14486</v>
      </c>
      <c r="V28" s="226">
        <v>19239</v>
      </c>
      <c r="W28" s="110">
        <v>2100</v>
      </c>
      <c r="X28" s="127" t="s">
        <v>112</v>
      </c>
      <c r="Y28" s="208">
        <f t="shared" ref="Y28:Y29" si="55">(X28+(V28*W28))*5%</f>
        <v>2020095</v>
      </c>
      <c r="Z28" s="236">
        <f t="shared" ref="Z28:Z29" si="56">V28*2%*W28</f>
        <v>808038.00000000012</v>
      </c>
      <c r="AA28" s="122">
        <f>30000/2</f>
        <v>15000</v>
      </c>
      <c r="AB28" s="127" t="s">
        <v>112</v>
      </c>
      <c r="AC28" s="127" t="s">
        <v>112</v>
      </c>
      <c r="AD28" s="237">
        <f t="shared" ref="AD28:AD33" si="57">X28+Y28+Z28+AA28+AB28+AC28</f>
        <v>2843133</v>
      </c>
      <c r="AE28" s="180">
        <f t="shared" ref="AE28:AE33" si="58">(AD28/W28)+((AD28*0.1%)/W28)</f>
        <v>1355.2267300000001</v>
      </c>
      <c r="AF28" s="122">
        <f>(2288000/2)/W28</f>
        <v>544.76190476190482</v>
      </c>
      <c r="AG28" s="198">
        <f t="shared" ref="AG28:AG29" si="59">(20000/2)/W28</f>
        <v>4.7619047619047619</v>
      </c>
      <c r="AH28" s="237">
        <f t="shared" si="12"/>
        <v>24.048750000000002</v>
      </c>
      <c r="AI28" s="198">
        <f t="shared" si="45"/>
        <v>91.614285714285714</v>
      </c>
      <c r="AJ28" s="122">
        <f>1350/2</f>
        <v>675</v>
      </c>
      <c r="AK28" s="222">
        <f t="shared" ref="AK28:AK29" si="60">((T28*110%*0.19%)+10/2)</f>
        <v>35.275739999999999</v>
      </c>
      <c r="AL28" s="127" t="s">
        <v>112</v>
      </c>
      <c r="AM28" s="198">
        <f>((1920953+557550+26520)/W28)/2</f>
        <v>596.43404761904765</v>
      </c>
      <c r="AN28" s="127" t="s">
        <v>112</v>
      </c>
      <c r="AO28" s="127" t="s">
        <v>112</v>
      </c>
      <c r="AP28" s="211">
        <f t="shared" ref="AP28:AP33" si="61">SUM(AF28:AO28)</f>
        <v>1971.8966328571432</v>
      </c>
      <c r="AQ28" s="122">
        <f>(100+150+50)/2</f>
        <v>150</v>
      </c>
      <c r="AR28" s="211">
        <f t="shared" si="51"/>
        <v>3477.1233628571435</v>
      </c>
      <c r="AS28" s="122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</row>
    <row r="29" spans="1:74" s="125" customFormat="1" ht="20.25" customHeight="1" x14ac:dyDescent="0.35">
      <c r="A29" s="105" t="s">
        <v>477</v>
      </c>
      <c r="B29" s="122" t="s">
        <v>151</v>
      </c>
      <c r="C29" s="129" t="s">
        <v>475</v>
      </c>
      <c r="D29" s="129" t="s">
        <v>176</v>
      </c>
      <c r="E29" s="221" t="s">
        <v>155</v>
      </c>
      <c r="F29" s="129" t="s">
        <v>479</v>
      </c>
      <c r="G29" s="129" t="s">
        <v>484</v>
      </c>
      <c r="H29" s="130" t="s">
        <v>427</v>
      </c>
      <c r="I29" s="129" t="s">
        <v>486</v>
      </c>
      <c r="J29" s="223" t="s">
        <v>416</v>
      </c>
      <c r="K29" s="130" t="s">
        <v>166</v>
      </c>
      <c r="L29" s="130">
        <v>1</v>
      </c>
      <c r="M29" s="130" t="s">
        <v>167</v>
      </c>
      <c r="N29" s="122"/>
      <c r="O29" s="122"/>
      <c r="P29" s="122"/>
      <c r="Q29" s="122"/>
      <c r="R29" s="122"/>
      <c r="S29" s="110"/>
      <c r="T29" s="226">
        <v>13707</v>
      </c>
      <c r="U29" s="226">
        <v>13707</v>
      </c>
      <c r="V29" s="226">
        <v>17480</v>
      </c>
      <c r="W29" s="110">
        <v>2100</v>
      </c>
      <c r="X29" s="127" t="s">
        <v>112</v>
      </c>
      <c r="Y29" s="208">
        <f t="shared" si="55"/>
        <v>1835400</v>
      </c>
      <c r="Z29" s="236">
        <f t="shared" si="56"/>
        <v>734160</v>
      </c>
      <c r="AA29" s="122">
        <f>30000/2</f>
        <v>15000</v>
      </c>
      <c r="AB29" s="127" t="s">
        <v>112</v>
      </c>
      <c r="AC29" s="127" t="s">
        <v>112</v>
      </c>
      <c r="AD29" s="237">
        <f t="shared" si="57"/>
        <v>2584560</v>
      </c>
      <c r="AE29" s="180">
        <f t="shared" si="58"/>
        <v>1231.9736</v>
      </c>
      <c r="AF29" s="122">
        <f>(2288000/2)/W29</f>
        <v>544.76190476190482</v>
      </c>
      <c r="AG29" s="198">
        <f t="shared" si="59"/>
        <v>4.7619047619047619</v>
      </c>
      <c r="AH29" s="237">
        <f t="shared" si="12"/>
        <v>21.85</v>
      </c>
      <c r="AI29" s="198">
        <f t="shared" si="45"/>
        <v>83.238095238095241</v>
      </c>
      <c r="AJ29" s="122">
        <f>1350/2</f>
        <v>675</v>
      </c>
      <c r="AK29" s="222">
        <f t="shared" si="60"/>
        <v>33.647630000000007</v>
      </c>
      <c r="AL29" s="127" t="s">
        <v>112</v>
      </c>
      <c r="AM29" s="198">
        <f>((1920953+557550+26520)/W29)/2</f>
        <v>596.43404761904765</v>
      </c>
      <c r="AN29" s="127" t="s">
        <v>112</v>
      </c>
      <c r="AO29" s="127" t="s">
        <v>112</v>
      </c>
      <c r="AP29" s="211">
        <f t="shared" si="61"/>
        <v>1959.6935823809526</v>
      </c>
      <c r="AQ29" s="122">
        <f>(100+150+50)/2</f>
        <v>150</v>
      </c>
      <c r="AR29" s="211">
        <f t="shared" si="51"/>
        <v>3341.6671823809529</v>
      </c>
      <c r="AS29" s="122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</row>
    <row r="30" spans="1:74" s="125" customFormat="1" ht="20.25" customHeight="1" x14ac:dyDescent="0.35">
      <c r="A30" s="116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7"/>
      <c r="T30" s="155">
        <f>SUM(T28:T29)</f>
        <v>28193</v>
      </c>
      <c r="U30" s="155">
        <f>SUM(U28:U29)</f>
        <v>28193</v>
      </c>
      <c r="V30" s="155">
        <f>SUM(V28:V29)</f>
        <v>36719</v>
      </c>
      <c r="W30" s="117"/>
      <c r="X30" s="116"/>
      <c r="Y30" s="116">
        <f>SUM(Y28:Y29)</f>
        <v>3855495</v>
      </c>
      <c r="Z30" s="116">
        <f>SUM(Z28:Z29)</f>
        <v>1542198</v>
      </c>
      <c r="AA30" s="116">
        <f>SUM(AA28:AA29)</f>
        <v>30000</v>
      </c>
      <c r="AB30" s="116"/>
      <c r="AC30" s="116"/>
      <c r="AD30" s="116">
        <f t="shared" ref="AD30:AK30" si="62">SUM(AD28:AD29)</f>
        <v>5427693</v>
      </c>
      <c r="AE30" s="116">
        <f t="shared" si="62"/>
        <v>2587.2003300000001</v>
      </c>
      <c r="AF30" s="116">
        <f t="shared" si="62"/>
        <v>1089.5238095238096</v>
      </c>
      <c r="AG30" s="235">
        <f t="shared" si="62"/>
        <v>9.5238095238095237</v>
      </c>
      <c r="AH30" s="235">
        <f t="shared" si="62"/>
        <v>45.898750000000007</v>
      </c>
      <c r="AI30" s="235">
        <f t="shared" si="62"/>
        <v>174.85238095238094</v>
      </c>
      <c r="AJ30" s="126">
        <f t="shared" si="62"/>
        <v>1350</v>
      </c>
      <c r="AK30" s="126">
        <f t="shared" si="62"/>
        <v>68.923370000000006</v>
      </c>
      <c r="AL30" s="116"/>
      <c r="AM30" s="126">
        <f>SUM(AM28:AM29)</f>
        <v>1192.8680952380953</v>
      </c>
      <c r="AN30" s="116"/>
      <c r="AO30" s="116"/>
      <c r="AP30" s="126">
        <f>SUM(AP28:AP29)</f>
        <v>3931.5902152380959</v>
      </c>
      <c r="AQ30" s="126">
        <f>SUM(AQ28:AQ29)</f>
        <v>300</v>
      </c>
      <c r="AR30" s="126">
        <f>SUM(AR28:AR29)</f>
        <v>6818.7905452380965</v>
      </c>
      <c r="AS30" s="116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</row>
    <row r="31" spans="1:74" s="125" customFormat="1" ht="20.25" customHeight="1" x14ac:dyDescent="0.35">
      <c r="A31" s="105" t="s">
        <v>488</v>
      </c>
      <c r="B31" s="122" t="s">
        <v>151</v>
      </c>
      <c r="C31" s="122" t="s">
        <v>487</v>
      </c>
      <c r="D31" s="238" t="s">
        <v>489</v>
      </c>
      <c r="E31" s="221" t="s">
        <v>155</v>
      </c>
      <c r="F31" s="238" t="s">
        <v>490</v>
      </c>
      <c r="G31" s="238" t="s">
        <v>491</v>
      </c>
      <c r="H31" s="130" t="s">
        <v>427</v>
      </c>
      <c r="I31" s="238" t="s">
        <v>492</v>
      </c>
      <c r="J31" s="129" t="s">
        <v>416</v>
      </c>
      <c r="K31" s="65" t="s">
        <v>493</v>
      </c>
      <c r="L31" s="130">
        <v>1</v>
      </c>
      <c r="M31" s="130" t="s">
        <v>167</v>
      </c>
      <c r="N31" s="83" t="s">
        <v>182</v>
      </c>
      <c r="O31" s="132">
        <v>1</v>
      </c>
      <c r="P31" s="122" t="s">
        <v>111</v>
      </c>
      <c r="Q31" s="239">
        <v>45037</v>
      </c>
      <c r="R31" s="233">
        <v>100239510600</v>
      </c>
      <c r="S31" s="109">
        <v>45023</v>
      </c>
      <c r="T31" s="133">
        <v>52779</v>
      </c>
      <c r="U31" s="133">
        <v>52779</v>
      </c>
      <c r="V31" s="133">
        <v>56503.31</v>
      </c>
      <c r="W31" s="110">
        <v>2100</v>
      </c>
      <c r="X31" s="170">
        <f>V31*3%*W31</f>
        <v>3559708.53</v>
      </c>
      <c r="Y31" s="178">
        <f t="shared" ref="Y31" si="63">(X31+(V31*W31))*5%</f>
        <v>6110832.9765000008</v>
      </c>
      <c r="Z31" s="159">
        <f t="shared" ref="Z31" si="64">V31*2%*W31</f>
        <v>2373139.02</v>
      </c>
      <c r="AA31" s="122">
        <v>30000</v>
      </c>
      <c r="AB31" s="127" t="s">
        <v>112</v>
      </c>
      <c r="AC31" s="127" t="s">
        <v>112</v>
      </c>
      <c r="AD31" s="237">
        <f t="shared" si="57"/>
        <v>12073680.5265</v>
      </c>
      <c r="AE31" s="180">
        <f t="shared" si="58"/>
        <v>5755.121050965</v>
      </c>
      <c r="AF31" s="122">
        <f>(1000000+94000+60000/1)/W31</f>
        <v>549.52380952380952</v>
      </c>
      <c r="AG31" s="198">
        <f>(20000/1)/W31</f>
        <v>9.5238095238095237</v>
      </c>
      <c r="AH31" s="237">
        <f t="shared" si="12"/>
        <v>70.629137499999999</v>
      </c>
      <c r="AI31" s="198">
        <f t="shared" si="45"/>
        <v>269.06338095238095</v>
      </c>
      <c r="AJ31" s="124">
        <v>3604</v>
      </c>
      <c r="AK31" s="228">
        <f>((T31*110%*0.19%)+10/1)</f>
        <v>120.30811</v>
      </c>
      <c r="AL31" s="127" t="s">
        <v>112</v>
      </c>
      <c r="AM31" s="198">
        <f>((1703413+924000)/W31)/1</f>
        <v>1251.1490476190477</v>
      </c>
      <c r="AN31" s="127" t="s">
        <v>112</v>
      </c>
      <c r="AO31" s="127" t="s">
        <v>112</v>
      </c>
      <c r="AP31" s="211">
        <f t="shared" si="61"/>
        <v>5874.1972951190473</v>
      </c>
      <c r="AQ31" s="124">
        <f>(50+200+50)/1</f>
        <v>300</v>
      </c>
      <c r="AR31" s="211">
        <f t="shared" si="51"/>
        <v>11929.318346084048</v>
      </c>
      <c r="AS31" s="122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</row>
    <row r="32" spans="1:74" ht="20.25" customHeight="1" x14ac:dyDescent="0.35">
      <c r="A32" s="116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7"/>
      <c r="T32" s="117"/>
      <c r="U32" s="117"/>
      <c r="V32" s="117"/>
      <c r="W32" s="117"/>
      <c r="X32" s="116"/>
      <c r="Y32" s="116"/>
      <c r="Z32" s="116"/>
      <c r="AA32" s="116"/>
      <c r="AB32" s="116"/>
      <c r="AC32" s="116"/>
      <c r="AD32" s="116"/>
      <c r="AE32" s="116"/>
      <c r="AF32" s="116"/>
      <c r="AG32" s="116"/>
      <c r="AH32" s="116"/>
      <c r="AI32" s="116"/>
      <c r="AJ32" s="116"/>
      <c r="AK32" s="116"/>
      <c r="AL32" s="116"/>
      <c r="AM32" s="116"/>
      <c r="AN32" s="116"/>
      <c r="AO32" s="116"/>
      <c r="AP32" s="116"/>
      <c r="AQ32" s="116"/>
      <c r="AR32" s="116"/>
      <c r="AS32" s="116"/>
    </row>
    <row r="33" spans="1:45" ht="21.75" customHeight="1" x14ac:dyDescent="0.35">
      <c r="A33" s="105" t="s">
        <v>494</v>
      </c>
      <c r="B33" s="160" t="s">
        <v>151</v>
      </c>
      <c r="C33" s="129" t="s">
        <v>495</v>
      </c>
      <c r="D33" s="238" t="s">
        <v>496</v>
      </c>
      <c r="E33" s="221" t="s">
        <v>155</v>
      </c>
      <c r="F33" s="238" t="s">
        <v>497</v>
      </c>
      <c r="G33" s="238" t="s">
        <v>498</v>
      </c>
      <c r="H33" s="130" t="s">
        <v>427</v>
      </c>
      <c r="I33" s="130" t="s">
        <v>499</v>
      </c>
      <c r="J33" s="129" t="s">
        <v>467</v>
      </c>
      <c r="K33" s="130" t="s">
        <v>166</v>
      </c>
      <c r="L33" s="130">
        <v>1</v>
      </c>
      <c r="M33" s="130" t="s">
        <v>167</v>
      </c>
      <c r="N33" s="83" t="s">
        <v>182</v>
      </c>
      <c r="O33" s="132">
        <v>1</v>
      </c>
      <c r="P33" s="122" t="s">
        <v>111</v>
      </c>
      <c r="Q33" s="239">
        <v>45051</v>
      </c>
      <c r="R33" s="233">
        <v>100242268340</v>
      </c>
      <c r="S33" s="109">
        <v>45050</v>
      </c>
      <c r="T33" s="240">
        <v>42360</v>
      </c>
      <c r="U33" s="240">
        <v>42360</v>
      </c>
      <c r="V33" s="240">
        <v>45000</v>
      </c>
      <c r="W33" s="161">
        <v>2100</v>
      </c>
      <c r="X33" s="163" t="s">
        <v>112</v>
      </c>
      <c r="Y33" s="208">
        <f t="shared" ref="Y33" si="65">(X33+(V33*W33))*5%</f>
        <v>4725000</v>
      </c>
      <c r="Z33" s="236">
        <f t="shared" ref="Z33" si="66">V33*2%*W33</f>
        <v>1890000</v>
      </c>
      <c r="AA33" s="160">
        <v>30000</v>
      </c>
      <c r="AB33" s="163" t="s">
        <v>112</v>
      </c>
      <c r="AC33" s="163" t="s">
        <v>112</v>
      </c>
      <c r="AD33" s="237">
        <f t="shared" si="57"/>
        <v>6645000</v>
      </c>
      <c r="AE33" s="180">
        <f t="shared" si="58"/>
        <v>3167.45</v>
      </c>
      <c r="AF33" s="122">
        <f>(1000000+84000+60000/1)/W33</f>
        <v>544.76190476190482</v>
      </c>
      <c r="AG33" s="198">
        <f>(20000/1)/W33</f>
        <v>9.5238095238095237</v>
      </c>
      <c r="AH33" s="237">
        <f t="shared" si="12"/>
        <v>56.25</v>
      </c>
      <c r="AI33" s="198">
        <f t="shared" si="45"/>
        <v>214.28571428571428</v>
      </c>
      <c r="AJ33" s="160">
        <v>1770</v>
      </c>
      <c r="AK33" s="228">
        <f>((T33*110%*0.19%)+10/1)</f>
        <v>98.53240000000001</v>
      </c>
      <c r="AL33" s="163" t="s">
        <v>112</v>
      </c>
      <c r="AM33" s="198">
        <f>((1676091+1764270)/W33)/1</f>
        <v>1638.2671428571427</v>
      </c>
      <c r="AN33" s="163" t="s">
        <v>112</v>
      </c>
      <c r="AO33" s="163" t="s">
        <v>112</v>
      </c>
      <c r="AP33" s="211">
        <f t="shared" si="61"/>
        <v>4331.6209714285715</v>
      </c>
      <c r="AQ33" s="124">
        <f>(50+200+50)/1</f>
        <v>300</v>
      </c>
      <c r="AR33" s="211">
        <f t="shared" si="51"/>
        <v>7799.0709714285713</v>
      </c>
      <c r="AS33" s="162"/>
    </row>
    <row r="34" spans="1:45" ht="21.75" customHeight="1" x14ac:dyDescent="0.35">
      <c r="A34" s="116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7"/>
      <c r="T34" s="117"/>
      <c r="U34" s="117"/>
      <c r="V34" s="117"/>
      <c r="W34" s="117"/>
      <c r="X34" s="116"/>
      <c r="Y34" s="116"/>
      <c r="Z34" s="116"/>
      <c r="AA34" s="116"/>
      <c r="AB34" s="116"/>
      <c r="AC34" s="116"/>
      <c r="AD34" s="116"/>
      <c r="AE34" s="116"/>
      <c r="AF34" s="116"/>
      <c r="AG34" s="116"/>
      <c r="AH34" s="116"/>
      <c r="AI34" s="116"/>
      <c r="AJ34" s="116"/>
      <c r="AK34" s="116"/>
      <c r="AL34" s="116"/>
      <c r="AM34" s="116"/>
      <c r="AN34" s="116"/>
      <c r="AO34" s="116"/>
      <c r="AP34" s="116"/>
      <c r="AQ34" s="116"/>
      <c r="AR34" s="116"/>
      <c r="AS34" s="116"/>
    </row>
  </sheetData>
  <autoFilter ref="A1:CE1"/>
  <mergeCells count="2">
    <mergeCell ref="N8:N12"/>
    <mergeCell ref="O8:O1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E13"/>
  <sheetViews>
    <sheetView tabSelected="1" workbookViewId="0">
      <pane ySplit="1" topLeftCell="A5" activePane="bottomLeft" state="frozen"/>
      <selection activeCell="AA1" sqref="AA1"/>
      <selection pane="bottomLeft" activeCell="D10" sqref="D10"/>
    </sheetView>
  </sheetViews>
  <sheetFormatPr defaultRowHeight="14.5" x14ac:dyDescent="0.35"/>
  <cols>
    <col min="1" max="1" width="24.453125" customWidth="1"/>
    <col min="2" max="2" width="10" customWidth="1"/>
    <col min="3" max="3" width="29" customWidth="1"/>
    <col min="4" max="4" width="18" customWidth="1"/>
    <col min="5" max="5" width="23" customWidth="1"/>
    <col min="6" max="6" width="30.81640625" customWidth="1"/>
    <col min="7" max="7" width="36.26953125" customWidth="1"/>
    <col min="8" max="8" width="30" customWidth="1"/>
    <col min="9" max="9" width="23" customWidth="1"/>
    <col min="10" max="10" width="20.1796875" customWidth="1"/>
    <col min="11" max="11" width="22.1796875" customWidth="1"/>
    <col min="12" max="12" width="18" customWidth="1"/>
    <col min="13" max="13" width="16.81640625" customWidth="1"/>
    <col min="14" max="14" width="17" customWidth="1"/>
    <col min="15" max="15" width="12.26953125" customWidth="1"/>
    <col min="16" max="16" width="15.26953125" customWidth="1"/>
    <col min="17" max="17" width="16" customWidth="1"/>
    <col min="18" max="18" width="21.7265625" customWidth="1"/>
    <col min="19" max="19" width="20.54296875" customWidth="1"/>
    <col min="20" max="20" width="18.453125" customWidth="1"/>
    <col min="21" max="21" width="20.453125" customWidth="1"/>
    <col min="22" max="22" width="17.26953125" customWidth="1"/>
    <col min="23" max="23" width="16.1796875" customWidth="1"/>
    <col min="24" max="24" width="22.26953125" customWidth="1"/>
    <col min="25" max="25" width="17.1796875" customWidth="1"/>
    <col min="26" max="26" width="24.1796875" customWidth="1"/>
    <col min="27" max="27" width="16.7265625" customWidth="1"/>
    <col min="28" max="28" width="17.7265625" customWidth="1"/>
    <col min="29" max="29" width="24.54296875" customWidth="1"/>
    <col min="30" max="30" width="21.7265625" customWidth="1"/>
    <col min="31" max="31" width="23.1796875" customWidth="1"/>
    <col min="32" max="32" width="17.1796875" customWidth="1"/>
    <col min="33" max="33" width="15.453125" customWidth="1"/>
    <col min="34" max="34" width="15" customWidth="1"/>
    <col min="35" max="35" width="13.54296875" customWidth="1"/>
    <col min="36" max="36" width="16.81640625" customWidth="1"/>
    <col min="37" max="37" width="20.81640625" customWidth="1"/>
    <col min="38" max="38" width="20" customWidth="1"/>
    <col min="39" max="39" width="16.81640625" customWidth="1"/>
    <col min="40" max="40" width="23.81640625" customWidth="1"/>
    <col min="41" max="41" width="17.81640625" customWidth="1"/>
    <col min="42" max="42" width="18.54296875" customWidth="1"/>
    <col min="43" max="43" width="25.453125" customWidth="1"/>
    <col min="44" max="45" width="19" customWidth="1"/>
  </cols>
  <sheetData>
    <row r="1" spans="1:83" s="102" customFormat="1" ht="72.75" customHeight="1" x14ac:dyDescent="0.45">
      <c r="A1" s="89" t="s">
        <v>129</v>
      </c>
      <c r="B1" s="89" t="s">
        <v>130</v>
      </c>
      <c r="C1" s="89" t="s">
        <v>131</v>
      </c>
      <c r="D1" s="89" t="s">
        <v>132</v>
      </c>
      <c r="E1" s="90" t="s">
        <v>150</v>
      </c>
      <c r="F1" s="91" t="s">
        <v>133</v>
      </c>
      <c r="G1" s="91" t="s">
        <v>134</v>
      </c>
      <c r="H1" s="91" t="s">
        <v>135</v>
      </c>
      <c r="I1" s="91" t="s">
        <v>136</v>
      </c>
      <c r="J1" s="91" t="s">
        <v>137</v>
      </c>
      <c r="K1" s="91" t="s">
        <v>138</v>
      </c>
      <c r="L1" s="91" t="s">
        <v>139</v>
      </c>
      <c r="M1" s="91" t="s">
        <v>140</v>
      </c>
      <c r="N1" s="90" t="s">
        <v>141</v>
      </c>
      <c r="O1" s="90" t="s">
        <v>142</v>
      </c>
      <c r="P1" s="92" t="s">
        <v>143</v>
      </c>
      <c r="Q1" s="90" t="s">
        <v>144</v>
      </c>
      <c r="R1" s="90" t="s">
        <v>145</v>
      </c>
      <c r="S1" s="90" t="s">
        <v>146</v>
      </c>
      <c r="T1" s="92" t="s">
        <v>147</v>
      </c>
      <c r="U1" s="92" t="s">
        <v>148</v>
      </c>
      <c r="V1" s="92" t="s">
        <v>149</v>
      </c>
      <c r="W1" s="92" t="s">
        <v>107</v>
      </c>
      <c r="X1" s="93" t="s">
        <v>113</v>
      </c>
      <c r="Y1" s="93" t="s">
        <v>114</v>
      </c>
      <c r="Z1" s="93" t="s">
        <v>115</v>
      </c>
      <c r="AA1" s="93" t="s">
        <v>109</v>
      </c>
      <c r="AB1" s="93" t="s">
        <v>117</v>
      </c>
      <c r="AC1" s="93" t="s">
        <v>118</v>
      </c>
      <c r="AD1" s="93" t="s">
        <v>116</v>
      </c>
      <c r="AE1" s="93" t="s">
        <v>125</v>
      </c>
      <c r="AF1" s="94" t="s">
        <v>121</v>
      </c>
      <c r="AG1" s="94" t="s">
        <v>122</v>
      </c>
      <c r="AH1" s="94" t="s">
        <v>108</v>
      </c>
      <c r="AI1" s="94" t="s">
        <v>123</v>
      </c>
      <c r="AJ1" s="95" t="s">
        <v>2</v>
      </c>
      <c r="AK1" s="96" t="s">
        <v>3</v>
      </c>
      <c r="AL1" s="96" t="s">
        <v>124</v>
      </c>
      <c r="AM1" s="96" t="s">
        <v>126</v>
      </c>
      <c r="AN1" s="97" t="s">
        <v>119</v>
      </c>
      <c r="AO1" s="97" t="s">
        <v>120</v>
      </c>
      <c r="AP1" s="93" t="s">
        <v>127</v>
      </c>
      <c r="AQ1" s="97" t="s">
        <v>110</v>
      </c>
      <c r="AR1" s="98" t="s">
        <v>128</v>
      </c>
      <c r="AS1" s="99" t="s">
        <v>106</v>
      </c>
      <c r="AT1" s="100"/>
      <c r="AU1" s="100"/>
      <c r="AV1" s="100"/>
      <c r="AW1" s="100"/>
      <c r="AX1" s="100"/>
      <c r="AY1" s="100"/>
      <c r="AZ1" s="100"/>
      <c r="BA1" s="100"/>
      <c r="BB1" s="100"/>
      <c r="BC1" s="100"/>
      <c r="BD1" s="100"/>
      <c r="BE1" s="100"/>
      <c r="BF1" s="100"/>
      <c r="BG1" s="100"/>
      <c r="BH1" s="100"/>
      <c r="BI1" s="100"/>
      <c r="BJ1" s="100"/>
      <c r="BK1" s="100"/>
      <c r="BL1" s="100"/>
      <c r="BM1" s="100"/>
      <c r="BN1" s="100"/>
      <c r="BO1" s="100"/>
      <c r="BP1" s="100"/>
      <c r="BQ1" s="100"/>
      <c r="BR1" s="101"/>
      <c r="BS1" s="101"/>
      <c r="BT1" s="101"/>
      <c r="BU1" s="101"/>
      <c r="BV1" s="101"/>
      <c r="BW1" s="101"/>
      <c r="BX1" s="101"/>
      <c r="BY1" s="101"/>
      <c r="BZ1" s="101"/>
      <c r="CA1" s="101"/>
      <c r="CB1" s="101"/>
      <c r="CC1" s="101"/>
      <c r="CD1" s="101"/>
      <c r="CE1" s="101"/>
    </row>
    <row r="2" spans="1:83" s="246" customFormat="1" ht="27.75" customHeight="1" x14ac:dyDescent="0.35">
      <c r="A2" s="238" t="s">
        <v>500</v>
      </c>
      <c r="B2" s="130" t="s">
        <v>151</v>
      </c>
      <c r="C2" s="238" t="s">
        <v>503</v>
      </c>
      <c r="D2" s="129" t="s">
        <v>504</v>
      </c>
      <c r="E2" s="221" t="s">
        <v>155</v>
      </c>
      <c r="F2" s="129" t="s">
        <v>505</v>
      </c>
      <c r="G2" s="129" t="s">
        <v>506</v>
      </c>
      <c r="H2" s="130" t="s">
        <v>427</v>
      </c>
      <c r="I2" s="129" t="s">
        <v>507</v>
      </c>
      <c r="J2" s="129" t="s">
        <v>510</v>
      </c>
      <c r="K2" s="130" t="s">
        <v>166</v>
      </c>
      <c r="L2" s="130">
        <v>1</v>
      </c>
      <c r="M2" s="130" t="s">
        <v>167</v>
      </c>
      <c r="N2" s="221" t="s">
        <v>439</v>
      </c>
      <c r="O2" s="221">
        <v>2</v>
      </c>
      <c r="P2" s="209" t="s">
        <v>111</v>
      </c>
      <c r="Q2" s="241">
        <v>45247</v>
      </c>
      <c r="R2" s="242">
        <v>100264808600</v>
      </c>
      <c r="S2" s="241">
        <v>45237</v>
      </c>
      <c r="T2" s="243">
        <v>22480</v>
      </c>
      <c r="U2" s="243">
        <v>22480</v>
      </c>
      <c r="V2" s="226">
        <f>70410.95/3</f>
        <v>23470.316666666666</v>
      </c>
      <c r="W2" s="178">
        <v>2100</v>
      </c>
      <c r="X2" s="244" t="s">
        <v>112</v>
      </c>
      <c r="Y2" s="178">
        <f t="shared" ref="Y2:Y12" si="0">(X2+(V2*W2))*5%</f>
        <v>2464383.25</v>
      </c>
      <c r="Z2" s="159">
        <f>V2*2%*W2</f>
        <v>985753.3</v>
      </c>
      <c r="AA2" s="221">
        <f>30000/3</f>
        <v>10000</v>
      </c>
      <c r="AB2" s="256">
        <f>40000/3</f>
        <v>13333.333333333334</v>
      </c>
      <c r="AC2" s="244">
        <f>6160958/3</f>
        <v>2053652.6666666667</v>
      </c>
      <c r="AD2" s="196">
        <f t="shared" ref="AD2:AD3" si="1">X2+Y2+Z2+AA2+AB2+AC2</f>
        <v>5527122.5499999998</v>
      </c>
      <c r="AE2" s="180">
        <f t="shared" ref="AE2:AE12" si="2">(AD2/W2)+((AD2*0.1%)/W2)</f>
        <v>2634.5950821666665</v>
      </c>
      <c r="AF2" s="199">
        <f>(3046100/3)/W2</f>
        <v>483.50793650793651</v>
      </c>
      <c r="AG2" s="199">
        <f>(20000/3)/W2</f>
        <v>3.1746031746031749</v>
      </c>
      <c r="AH2" s="196">
        <f t="shared" ref="AH2:AH12" si="3">V2*0.125%</f>
        <v>29.337895833333334</v>
      </c>
      <c r="AI2" s="199">
        <f>(V2*10)/W2</f>
        <v>111.76341269841269</v>
      </c>
      <c r="AJ2" s="245">
        <f>2820/3</f>
        <v>940</v>
      </c>
      <c r="AK2" s="221">
        <f>((T2*110%*0.19%)+10/3)</f>
        <v>50.316533333333339</v>
      </c>
      <c r="AL2" s="244" t="s">
        <v>112</v>
      </c>
      <c r="AM2" s="199">
        <f>(4977422/W2)/3</f>
        <v>790.06698412698415</v>
      </c>
      <c r="AN2" s="244" t="s">
        <v>112</v>
      </c>
      <c r="AO2" s="210" t="s">
        <v>112</v>
      </c>
      <c r="AP2" s="211">
        <f>SUM(AF2:AO2)</f>
        <v>2408.1673656746034</v>
      </c>
      <c r="AQ2" s="221">
        <f>650/3</f>
        <v>216.66666666666666</v>
      </c>
      <c r="AR2" s="202">
        <f t="shared" ref="AR2:AR3" si="4">AE2+AP2+AQ2</f>
        <v>5259.4291145079369</v>
      </c>
      <c r="AS2" s="221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</row>
    <row r="3" spans="1:83" s="246" customFormat="1" ht="27.75" customHeight="1" x14ac:dyDescent="0.35">
      <c r="A3" s="238" t="s">
        <v>501</v>
      </c>
      <c r="B3" s="130" t="s">
        <v>151</v>
      </c>
      <c r="C3" s="238" t="s">
        <v>503</v>
      </c>
      <c r="D3" s="129" t="s">
        <v>504</v>
      </c>
      <c r="E3" s="221" t="s">
        <v>155</v>
      </c>
      <c r="F3" s="129" t="s">
        <v>505</v>
      </c>
      <c r="G3" s="129" t="s">
        <v>506</v>
      </c>
      <c r="H3" s="130" t="s">
        <v>427</v>
      </c>
      <c r="I3" s="129" t="s">
        <v>508</v>
      </c>
      <c r="J3" s="129" t="s">
        <v>510</v>
      </c>
      <c r="K3" s="130" t="s">
        <v>166</v>
      </c>
      <c r="L3" s="130">
        <v>1</v>
      </c>
      <c r="M3" s="130" t="s">
        <v>167</v>
      </c>
      <c r="N3" s="221"/>
      <c r="O3" s="221"/>
      <c r="P3" s="221"/>
      <c r="Q3" s="221"/>
      <c r="R3" s="221"/>
      <c r="S3" s="208"/>
      <c r="T3" s="243">
        <v>22480</v>
      </c>
      <c r="U3" s="243">
        <v>22480</v>
      </c>
      <c r="V3" s="226">
        <f t="shared" ref="V3:V4" si="5">70410.95/3</f>
        <v>23470.316666666666</v>
      </c>
      <c r="W3" s="178">
        <v>2100</v>
      </c>
      <c r="X3" s="244" t="s">
        <v>112</v>
      </c>
      <c r="Y3" s="178">
        <f t="shared" si="0"/>
        <v>2464383.25</v>
      </c>
      <c r="Z3" s="159">
        <f t="shared" ref="Z3" si="6">V3*2%*W3</f>
        <v>985753.3</v>
      </c>
      <c r="AA3" s="221">
        <f t="shared" ref="AA3:AA4" si="7">30000/3</f>
        <v>10000</v>
      </c>
      <c r="AB3" s="256">
        <f t="shared" ref="AB3:AB4" si="8">40000/3</f>
        <v>13333.333333333334</v>
      </c>
      <c r="AC3" s="244">
        <f t="shared" ref="AC3:AC4" si="9">6160958/3</f>
        <v>2053652.6666666667</v>
      </c>
      <c r="AD3" s="196">
        <f t="shared" si="1"/>
        <v>5527122.5499999998</v>
      </c>
      <c r="AE3" s="180">
        <f t="shared" si="2"/>
        <v>2634.5950821666665</v>
      </c>
      <c r="AF3" s="199">
        <f t="shared" ref="AF3:AF4" si="10">(3046100/3)/W3</f>
        <v>483.50793650793651</v>
      </c>
      <c r="AG3" s="199">
        <f t="shared" ref="AG3:AG4" si="11">(20000/3)/W3</f>
        <v>3.1746031746031749</v>
      </c>
      <c r="AH3" s="196">
        <f t="shared" si="3"/>
        <v>29.337895833333334</v>
      </c>
      <c r="AI3" s="199">
        <f t="shared" ref="AI3:AI12" si="12">(V3*10)/W3</f>
        <v>111.76341269841269</v>
      </c>
      <c r="AJ3" s="245">
        <f t="shared" ref="AJ3:AJ4" si="13">2820/3</f>
        <v>940</v>
      </c>
      <c r="AK3" s="221">
        <f t="shared" ref="AK3:AK4" si="14">((T3*110%*0.19%)+10/3)</f>
        <v>50.316533333333339</v>
      </c>
      <c r="AL3" s="244" t="s">
        <v>112</v>
      </c>
      <c r="AM3" s="199">
        <f>(4977422/W3)/3</f>
        <v>790.06698412698415</v>
      </c>
      <c r="AN3" s="244" t="s">
        <v>112</v>
      </c>
      <c r="AO3" s="210" t="s">
        <v>112</v>
      </c>
      <c r="AP3" s="211">
        <f t="shared" ref="AP3:AP12" si="15">SUM(AF3:AO3)</f>
        <v>2408.1673656746034</v>
      </c>
      <c r="AQ3" s="221">
        <f t="shared" ref="AQ3:AQ4" si="16">650/3</f>
        <v>216.66666666666666</v>
      </c>
      <c r="AR3" s="202">
        <f t="shared" si="4"/>
        <v>5259.4291145079369</v>
      </c>
      <c r="AS3" s="221"/>
      <c r="AT3" s="213"/>
      <c r="AU3" s="213"/>
      <c r="AV3" s="213"/>
      <c r="AW3" s="213"/>
      <c r="AX3" s="213"/>
      <c r="AY3" s="213"/>
      <c r="AZ3" s="213"/>
      <c r="BA3" s="213"/>
      <c r="BB3" s="213"/>
      <c r="BC3" s="213"/>
      <c r="BD3" s="213"/>
      <c r="BE3" s="213"/>
      <c r="BF3" s="213"/>
      <c r="BG3" s="213"/>
      <c r="BH3" s="213"/>
      <c r="BI3" s="213"/>
      <c r="BJ3" s="213"/>
      <c r="BK3" s="213"/>
      <c r="BL3" s="213"/>
      <c r="BM3" s="213"/>
      <c r="BN3" s="213"/>
      <c r="BO3" s="213"/>
      <c r="BP3" s="213"/>
      <c r="BQ3" s="213"/>
      <c r="BR3" s="213"/>
      <c r="BS3" s="213"/>
      <c r="BT3" s="213"/>
      <c r="BU3" s="213"/>
      <c r="BV3" s="213"/>
    </row>
    <row r="4" spans="1:83" s="249" customFormat="1" ht="27.75" customHeight="1" x14ac:dyDescent="0.35">
      <c r="A4" s="238" t="s">
        <v>502</v>
      </c>
      <c r="B4" s="130" t="s">
        <v>151</v>
      </c>
      <c r="C4" s="238" t="s">
        <v>503</v>
      </c>
      <c r="D4" s="129" t="s">
        <v>504</v>
      </c>
      <c r="E4" s="221" t="s">
        <v>155</v>
      </c>
      <c r="F4" s="129" t="s">
        <v>505</v>
      </c>
      <c r="G4" s="129" t="s">
        <v>506</v>
      </c>
      <c r="H4" s="130" t="s">
        <v>427</v>
      </c>
      <c r="I4" s="129" t="s">
        <v>509</v>
      </c>
      <c r="J4" s="129" t="s">
        <v>510</v>
      </c>
      <c r="K4" s="130" t="s">
        <v>166</v>
      </c>
      <c r="L4" s="130">
        <v>1</v>
      </c>
      <c r="M4" s="130" t="s">
        <v>167</v>
      </c>
      <c r="N4" s="247"/>
      <c r="O4" s="247"/>
      <c r="P4" s="247"/>
      <c r="Q4" s="247"/>
      <c r="R4" s="247"/>
      <c r="S4" s="83"/>
      <c r="T4" s="243">
        <v>22480</v>
      </c>
      <c r="U4" s="243">
        <v>22480</v>
      </c>
      <c r="V4" s="226">
        <f t="shared" si="5"/>
        <v>23470.316666666666</v>
      </c>
      <c r="W4" s="178">
        <v>2100</v>
      </c>
      <c r="X4" s="244" t="s">
        <v>112</v>
      </c>
      <c r="Y4" s="178">
        <f t="shared" si="0"/>
        <v>2464383.25</v>
      </c>
      <c r="Z4" s="159">
        <f>V4*2%*W4</f>
        <v>985753.3</v>
      </c>
      <c r="AA4" s="221">
        <f t="shared" si="7"/>
        <v>10000</v>
      </c>
      <c r="AB4" s="256">
        <f t="shared" si="8"/>
        <v>13333.333333333334</v>
      </c>
      <c r="AC4" s="244">
        <f t="shared" si="9"/>
        <v>2053652.6666666667</v>
      </c>
      <c r="AD4" s="196">
        <f>X4+Y4+Z4+AA4+AB4+AC4</f>
        <v>5527122.5499999998</v>
      </c>
      <c r="AE4" s="180">
        <f t="shared" si="2"/>
        <v>2634.5950821666665</v>
      </c>
      <c r="AF4" s="199">
        <f t="shared" si="10"/>
        <v>483.50793650793651</v>
      </c>
      <c r="AG4" s="199">
        <f t="shared" si="11"/>
        <v>3.1746031746031749</v>
      </c>
      <c r="AH4" s="196">
        <f t="shared" si="3"/>
        <v>29.337895833333334</v>
      </c>
      <c r="AI4" s="199">
        <f t="shared" si="12"/>
        <v>111.76341269841269</v>
      </c>
      <c r="AJ4" s="245">
        <f t="shared" si="13"/>
        <v>940</v>
      </c>
      <c r="AK4" s="221">
        <f t="shared" si="14"/>
        <v>50.316533333333339</v>
      </c>
      <c r="AL4" s="244" t="s">
        <v>112</v>
      </c>
      <c r="AM4" s="199">
        <f>(4977422/W4)/3</f>
        <v>790.06698412698415</v>
      </c>
      <c r="AN4" s="244" t="s">
        <v>112</v>
      </c>
      <c r="AO4" s="210" t="s">
        <v>112</v>
      </c>
      <c r="AP4" s="211">
        <f t="shared" si="15"/>
        <v>2408.1673656746034</v>
      </c>
      <c r="AQ4" s="221">
        <f t="shared" si="16"/>
        <v>216.66666666666666</v>
      </c>
      <c r="AR4" s="202">
        <f>AE4+AP4+AQ4</f>
        <v>5259.4291145079369</v>
      </c>
      <c r="AS4" s="247"/>
      <c r="AT4" s="248"/>
      <c r="AU4" s="248"/>
      <c r="AV4" s="248"/>
      <c r="AW4" s="248"/>
      <c r="AX4" s="248"/>
      <c r="AY4" s="248"/>
      <c r="AZ4" s="248"/>
      <c r="BA4" s="248"/>
      <c r="BB4" s="248"/>
      <c r="BC4" s="248"/>
      <c r="BD4" s="248"/>
      <c r="BE4" s="248"/>
      <c r="BF4" s="248"/>
      <c r="BG4" s="248"/>
      <c r="BH4" s="248"/>
      <c r="BI4" s="248"/>
      <c r="BJ4" s="248"/>
      <c r="BK4" s="248"/>
      <c r="BL4" s="248"/>
      <c r="BM4" s="248"/>
      <c r="BN4" s="248"/>
      <c r="BO4" s="248"/>
      <c r="BP4" s="248"/>
      <c r="BQ4" s="248"/>
      <c r="BR4" s="248"/>
      <c r="BS4" s="248"/>
      <c r="BT4" s="248"/>
      <c r="BU4" s="248"/>
      <c r="BV4" s="248"/>
    </row>
    <row r="5" spans="1:83" s="255" customFormat="1" ht="27.75" customHeight="1" x14ac:dyDescent="0.35">
      <c r="A5" s="250"/>
      <c r="B5" s="250"/>
      <c r="C5" s="250"/>
      <c r="D5" s="250"/>
      <c r="E5" s="250"/>
      <c r="F5" s="250"/>
      <c r="G5" s="250"/>
      <c r="H5" s="250"/>
      <c r="I5" s="250"/>
      <c r="J5" s="250"/>
      <c r="K5" s="250"/>
      <c r="L5" s="250"/>
      <c r="M5" s="250"/>
      <c r="N5" s="250"/>
      <c r="O5" s="250"/>
      <c r="P5" s="250"/>
      <c r="Q5" s="250"/>
      <c r="R5" s="250"/>
      <c r="S5" s="86"/>
      <c r="T5" s="251">
        <f>SUM(T2:T4)</f>
        <v>67440</v>
      </c>
      <c r="U5" s="251">
        <f>SUM(U2:U4)</f>
        <v>67440</v>
      </c>
      <c r="V5" s="251">
        <f>SUM(V2:V4)</f>
        <v>70410.95</v>
      </c>
      <c r="W5" s="86"/>
      <c r="X5" s="250"/>
      <c r="Y5" s="250">
        <f t="shared" ref="Y5:AG5" si="17">SUM(Y2:Y4)</f>
        <v>7393149.75</v>
      </c>
      <c r="Z5" s="252">
        <f t="shared" si="17"/>
        <v>2957259.9000000004</v>
      </c>
      <c r="AA5" s="252">
        <f t="shared" si="17"/>
        <v>30000</v>
      </c>
      <c r="AB5" s="252">
        <f t="shared" si="17"/>
        <v>40000</v>
      </c>
      <c r="AC5" s="252">
        <f t="shared" si="17"/>
        <v>6160958</v>
      </c>
      <c r="AD5" s="252">
        <f t="shared" si="17"/>
        <v>16581367.649999999</v>
      </c>
      <c r="AE5" s="253">
        <f t="shared" si="17"/>
        <v>7903.7852464999996</v>
      </c>
      <c r="AF5" s="253">
        <f t="shared" si="17"/>
        <v>1450.5238095238096</v>
      </c>
      <c r="AG5" s="253">
        <f t="shared" si="17"/>
        <v>9.5238095238095255</v>
      </c>
      <c r="AH5" s="253">
        <f t="shared" ref="AH5:AJ5" si="18">SUM(AH2:AH4)</f>
        <v>88.013687500000003</v>
      </c>
      <c r="AI5" s="253">
        <f t="shared" si="18"/>
        <v>335.29023809523807</v>
      </c>
      <c r="AJ5" s="253">
        <f t="shared" si="18"/>
        <v>2820</v>
      </c>
      <c r="AK5" s="253">
        <f>SUM(AK2:AK4)</f>
        <v>150.94960000000003</v>
      </c>
      <c r="AL5" s="250"/>
      <c r="AM5" s="253">
        <f>SUM(AM2:AM4)</f>
        <v>2370.2009523809525</v>
      </c>
      <c r="AN5" s="250"/>
      <c r="AO5" s="250"/>
      <c r="AP5" s="253">
        <f>SUM(AP2:AP4)</f>
        <v>7224.5020970238102</v>
      </c>
      <c r="AQ5" s="253">
        <f>SUM(AQ2:AQ4)</f>
        <v>650</v>
      </c>
      <c r="AR5" s="253">
        <f>SUM(AR2:AR4)</f>
        <v>15778.287343523811</v>
      </c>
      <c r="AS5" s="250"/>
      <c r="AT5" s="248"/>
      <c r="AU5" s="248"/>
      <c r="AV5" s="248"/>
      <c r="AW5" s="248"/>
      <c r="AX5" s="248"/>
      <c r="AY5" s="248"/>
      <c r="AZ5" s="248"/>
      <c r="BA5" s="248"/>
      <c r="BB5" s="248"/>
      <c r="BC5" s="248"/>
      <c r="BD5" s="248"/>
      <c r="BE5" s="248"/>
      <c r="BF5" s="248"/>
      <c r="BG5" s="248"/>
      <c r="BH5" s="248"/>
      <c r="BI5" s="248"/>
      <c r="BJ5" s="248"/>
      <c r="BK5" s="248"/>
      <c r="BL5" s="248"/>
      <c r="BM5" s="248"/>
      <c r="BN5" s="248"/>
      <c r="BO5" s="248"/>
      <c r="BP5" s="248"/>
      <c r="BQ5" s="248"/>
      <c r="BR5" s="254"/>
      <c r="BS5" s="254"/>
      <c r="BT5" s="254"/>
      <c r="BU5" s="254"/>
      <c r="BV5" s="254"/>
    </row>
    <row r="6" spans="1:83" s="277" customFormat="1" ht="27.75" customHeight="1" x14ac:dyDescent="0.45">
      <c r="A6" s="257" t="s">
        <v>512</v>
      </c>
      <c r="B6" s="258" t="s">
        <v>151</v>
      </c>
      <c r="C6" s="259" t="s">
        <v>511</v>
      </c>
      <c r="D6" s="257" t="s">
        <v>514</v>
      </c>
      <c r="E6" s="221" t="s">
        <v>155</v>
      </c>
      <c r="F6" s="257" t="s">
        <v>515</v>
      </c>
      <c r="G6" s="257" t="s">
        <v>516</v>
      </c>
      <c r="H6" s="258" t="s">
        <v>427</v>
      </c>
      <c r="I6" s="257" t="s">
        <v>517</v>
      </c>
      <c r="J6" s="257" t="s">
        <v>510</v>
      </c>
      <c r="K6" s="258" t="s">
        <v>166</v>
      </c>
      <c r="L6" s="258">
        <v>1</v>
      </c>
      <c r="M6" s="258" t="s">
        <v>167</v>
      </c>
      <c r="N6" s="260" t="s">
        <v>454</v>
      </c>
      <c r="O6" s="260">
        <v>1</v>
      </c>
      <c r="P6" s="260" t="s">
        <v>111</v>
      </c>
      <c r="Q6" s="261">
        <v>45260</v>
      </c>
      <c r="R6" s="262">
        <v>100266228750</v>
      </c>
      <c r="S6" s="261">
        <v>45250</v>
      </c>
      <c r="T6" s="263">
        <v>11136</v>
      </c>
      <c r="U6" s="263">
        <v>11136</v>
      </c>
      <c r="V6" s="264">
        <f>23032/2</f>
        <v>11516</v>
      </c>
      <c r="W6" s="265">
        <v>2100</v>
      </c>
      <c r="X6" s="266" t="s">
        <v>112</v>
      </c>
      <c r="Y6" s="265">
        <f t="shared" si="0"/>
        <v>1209180</v>
      </c>
      <c r="Z6" s="267">
        <f t="shared" ref="Z6:Z12" si="19">V6*2%*W6</f>
        <v>483672</v>
      </c>
      <c r="AA6" s="260">
        <f>30000/2</f>
        <v>15000</v>
      </c>
      <c r="AB6" s="268">
        <f>20000/2</f>
        <v>10000</v>
      </c>
      <c r="AC6" s="266" t="s">
        <v>112</v>
      </c>
      <c r="AD6" s="269">
        <f t="shared" ref="AD6:AD12" si="20">X6+Y6+Z6+AA6+AB6+AC6</f>
        <v>1717852</v>
      </c>
      <c r="AE6" s="270">
        <f t="shared" si="2"/>
        <v>818.84278666666671</v>
      </c>
      <c r="AF6" s="271">
        <f>(1049400/2)/W6</f>
        <v>249.85714285714286</v>
      </c>
      <c r="AG6" s="271">
        <f>(20000/2)/W6</f>
        <v>4.7619047619047619</v>
      </c>
      <c r="AH6" s="269">
        <f t="shared" si="3"/>
        <v>14.395</v>
      </c>
      <c r="AI6" s="271">
        <f t="shared" si="12"/>
        <v>54.838095238095235</v>
      </c>
      <c r="AJ6" s="272">
        <f>700/2</f>
        <v>350</v>
      </c>
      <c r="AK6" s="260">
        <f>60/2</f>
        <v>30</v>
      </c>
      <c r="AL6" s="266" t="s">
        <v>112</v>
      </c>
      <c r="AM6" s="271">
        <f>(1100610/W6)/2</f>
        <v>262.05</v>
      </c>
      <c r="AN6" s="266" t="s">
        <v>112</v>
      </c>
      <c r="AO6" s="273" t="s">
        <v>112</v>
      </c>
      <c r="AP6" s="274">
        <f t="shared" si="15"/>
        <v>965.90214285714296</v>
      </c>
      <c r="AQ6" s="260">
        <f>300/2</f>
        <v>150</v>
      </c>
      <c r="AR6" s="275">
        <f t="shared" ref="AR6:AR12" si="21">AE6+AP6+AQ6</f>
        <v>1934.7449295238098</v>
      </c>
      <c r="AS6" s="260"/>
      <c r="AT6" s="276"/>
      <c r="AU6" s="276"/>
      <c r="AV6" s="276"/>
      <c r="AW6" s="276"/>
      <c r="AX6" s="276"/>
      <c r="AY6" s="276"/>
      <c r="AZ6" s="276"/>
      <c r="BA6" s="276"/>
      <c r="BB6" s="276"/>
      <c r="BC6" s="276"/>
      <c r="BD6" s="276"/>
      <c r="BE6" s="276"/>
      <c r="BF6" s="276"/>
      <c r="BG6" s="276"/>
      <c r="BH6" s="276"/>
      <c r="BI6" s="276"/>
      <c r="BJ6" s="276"/>
      <c r="BK6" s="276"/>
      <c r="BL6" s="276"/>
      <c r="BM6" s="276"/>
      <c r="BN6" s="276"/>
      <c r="BO6" s="276"/>
      <c r="BP6" s="276"/>
      <c r="BQ6" s="276"/>
      <c r="BR6" s="276"/>
      <c r="BS6" s="276"/>
      <c r="BT6" s="276"/>
      <c r="BU6" s="276"/>
      <c r="BV6" s="276"/>
    </row>
    <row r="7" spans="1:83" s="281" customFormat="1" ht="27.75" customHeight="1" x14ac:dyDescent="0.45">
      <c r="A7" s="257" t="s">
        <v>513</v>
      </c>
      <c r="B7" s="258" t="s">
        <v>151</v>
      </c>
      <c r="C7" s="259" t="s">
        <v>511</v>
      </c>
      <c r="D7" s="257" t="s">
        <v>514</v>
      </c>
      <c r="E7" s="221" t="s">
        <v>155</v>
      </c>
      <c r="F7" s="257" t="s">
        <v>515</v>
      </c>
      <c r="G7" s="257" t="s">
        <v>516</v>
      </c>
      <c r="H7" s="258" t="s">
        <v>427</v>
      </c>
      <c r="I7" s="257" t="s">
        <v>518</v>
      </c>
      <c r="J7" s="257" t="s">
        <v>510</v>
      </c>
      <c r="K7" s="258" t="s">
        <v>166</v>
      </c>
      <c r="L7" s="258">
        <v>1</v>
      </c>
      <c r="M7" s="258" t="s">
        <v>167</v>
      </c>
      <c r="N7" s="278"/>
      <c r="O7" s="278"/>
      <c r="P7" s="278"/>
      <c r="Q7" s="278"/>
      <c r="R7" s="278"/>
      <c r="S7" s="279"/>
      <c r="T7" s="263">
        <v>11136</v>
      </c>
      <c r="U7" s="263">
        <v>11136</v>
      </c>
      <c r="V7" s="264">
        <f>23032/2</f>
        <v>11516</v>
      </c>
      <c r="W7" s="265">
        <v>2100</v>
      </c>
      <c r="X7" s="266" t="s">
        <v>112</v>
      </c>
      <c r="Y7" s="265">
        <f t="shared" si="0"/>
        <v>1209180</v>
      </c>
      <c r="Z7" s="267">
        <f t="shared" si="19"/>
        <v>483672</v>
      </c>
      <c r="AA7" s="260">
        <f>30000/2</f>
        <v>15000</v>
      </c>
      <c r="AB7" s="268">
        <f>20000/2</f>
        <v>10000</v>
      </c>
      <c r="AC7" s="266" t="s">
        <v>112</v>
      </c>
      <c r="AD7" s="269">
        <f t="shared" si="20"/>
        <v>1717852</v>
      </c>
      <c r="AE7" s="270">
        <f t="shared" si="2"/>
        <v>818.84278666666671</v>
      </c>
      <c r="AF7" s="271">
        <f>(1049400/2)/W7</f>
        <v>249.85714285714286</v>
      </c>
      <c r="AG7" s="271">
        <f>(20000/2)/W7</f>
        <v>4.7619047619047619</v>
      </c>
      <c r="AH7" s="269">
        <f t="shared" si="3"/>
        <v>14.395</v>
      </c>
      <c r="AI7" s="271">
        <f t="shared" si="12"/>
        <v>54.838095238095235</v>
      </c>
      <c r="AJ7" s="272">
        <f>700/2</f>
        <v>350</v>
      </c>
      <c r="AK7" s="260">
        <f>60/2</f>
        <v>30</v>
      </c>
      <c r="AL7" s="266" t="s">
        <v>112</v>
      </c>
      <c r="AM7" s="271">
        <f>(1100610/W7)/2</f>
        <v>262.05</v>
      </c>
      <c r="AN7" s="266" t="s">
        <v>112</v>
      </c>
      <c r="AO7" s="273" t="s">
        <v>112</v>
      </c>
      <c r="AP7" s="274">
        <f t="shared" si="15"/>
        <v>965.90214285714296</v>
      </c>
      <c r="AQ7" s="260">
        <f>300/2</f>
        <v>150</v>
      </c>
      <c r="AR7" s="275">
        <f t="shared" si="21"/>
        <v>1934.7449295238098</v>
      </c>
      <c r="AS7" s="278"/>
      <c r="AT7" s="280"/>
      <c r="AU7" s="280"/>
      <c r="AV7" s="280"/>
      <c r="AW7" s="280"/>
      <c r="AX7" s="280"/>
      <c r="AY7" s="280"/>
      <c r="AZ7" s="280"/>
      <c r="BA7" s="280"/>
      <c r="BB7" s="280"/>
      <c r="BC7" s="280"/>
      <c r="BD7" s="280"/>
      <c r="BE7" s="280"/>
      <c r="BF7" s="280"/>
      <c r="BG7" s="280"/>
      <c r="BH7" s="280"/>
      <c r="BI7" s="280"/>
      <c r="BJ7" s="280"/>
      <c r="BK7" s="280"/>
      <c r="BL7" s="280"/>
      <c r="BM7" s="280"/>
      <c r="BN7" s="280"/>
      <c r="BO7" s="280"/>
      <c r="BP7" s="280"/>
      <c r="BQ7" s="280"/>
      <c r="BR7" s="280"/>
      <c r="BS7" s="280"/>
      <c r="BT7" s="280"/>
      <c r="BU7" s="280"/>
      <c r="BV7" s="280"/>
    </row>
    <row r="8" spans="1:83" s="255" customFormat="1" ht="27.75" customHeight="1" x14ac:dyDescent="0.35">
      <c r="A8" s="250"/>
      <c r="B8" s="250"/>
      <c r="C8" s="250"/>
      <c r="D8" s="250"/>
      <c r="E8" s="250"/>
      <c r="F8" s="250"/>
      <c r="G8" s="250"/>
      <c r="H8" s="250"/>
      <c r="I8" s="250"/>
      <c r="J8" s="250"/>
      <c r="K8" s="250"/>
      <c r="L8" s="250"/>
      <c r="M8" s="250"/>
      <c r="N8" s="250"/>
      <c r="O8" s="250"/>
      <c r="P8" s="250"/>
      <c r="Q8" s="250"/>
      <c r="R8" s="250"/>
      <c r="S8" s="86"/>
      <c r="T8" s="251">
        <f>SUM(T6:T7)</f>
        <v>22272</v>
      </c>
      <c r="U8" s="251">
        <f>SUM(U6:U7)</f>
        <v>22272</v>
      </c>
      <c r="V8" s="251">
        <f>SUM(V6:V7)</f>
        <v>23032</v>
      </c>
      <c r="W8" s="86"/>
      <c r="X8" s="250"/>
      <c r="Y8" s="250">
        <f t="shared" ref="Y8:AK8" si="22">SUM(Y6:Y7)</f>
        <v>2418360</v>
      </c>
      <c r="Z8" s="250">
        <f t="shared" si="22"/>
        <v>967344</v>
      </c>
      <c r="AA8" s="250">
        <f t="shared" si="22"/>
        <v>30000</v>
      </c>
      <c r="AB8" s="250">
        <f t="shared" si="22"/>
        <v>20000</v>
      </c>
      <c r="AC8" s="250">
        <f t="shared" si="22"/>
        <v>0</v>
      </c>
      <c r="AD8" s="250">
        <f t="shared" si="22"/>
        <v>3435704</v>
      </c>
      <c r="AE8" s="253">
        <f t="shared" si="22"/>
        <v>1637.6855733333334</v>
      </c>
      <c r="AF8" s="253">
        <f t="shared" si="22"/>
        <v>499.71428571428572</v>
      </c>
      <c r="AG8" s="253">
        <f t="shared" si="22"/>
        <v>9.5238095238095237</v>
      </c>
      <c r="AH8" s="253">
        <f t="shared" si="22"/>
        <v>28.79</v>
      </c>
      <c r="AI8" s="253">
        <f t="shared" si="22"/>
        <v>109.67619047619047</v>
      </c>
      <c r="AJ8" s="253">
        <f t="shared" si="22"/>
        <v>700</v>
      </c>
      <c r="AK8" s="253">
        <f t="shared" si="22"/>
        <v>60</v>
      </c>
      <c r="AL8" s="250"/>
      <c r="AM8" s="253">
        <f>SUM(AM6:AM7)</f>
        <v>524.1</v>
      </c>
      <c r="AN8" s="250"/>
      <c r="AO8" s="250"/>
      <c r="AP8" s="253">
        <f>SUM(AP6:AP7)</f>
        <v>1931.8042857142859</v>
      </c>
      <c r="AQ8" s="253">
        <f>SUM(AQ6:AQ7)</f>
        <v>300</v>
      </c>
      <c r="AR8" s="253">
        <f>SUM(AR6:AR7)</f>
        <v>3869.4898590476196</v>
      </c>
      <c r="AS8" s="250"/>
      <c r="AT8" s="248"/>
      <c r="AU8" s="248"/>
      <c r="AV8" s="248"/>
      <c r="AW8" s="248"/>
      <c r="AX8" s="248"/>
      <c r="AY8" s="248"/>
      <c r="AZ8" s="248"/>
      <c r="BA8" s="248"/>
      <c r="BB8" s="248"/>
      <c r="BC8" s="248"/>
      <c r="BD8" s="248"/>
      <c r="BE8" s="248"/>
      <c r="BF8" s="248"/>
      <c r="BG8" s="248"/>
      <c r="BH8" s="248"/>
      <c r="BI8" s="248"/>
      <c r="BJ8" s="248"/>
      <c r="BK8" s="248"/>
      <c r="BL8" s="248"/>
      <c r="BM8" s="248"/>
      <c r="BN8" s="248"/>
      <c r="BO8" s="248"/>
      <c r="BP8" s="248"/>
      <c r="BQ8" s="248"/>
      <c r="BR8" s="254"/>
      <c r="BS8" s="254"/>
      <c r="BT8" s="254"/>
      <c r="BU8" s="254"/>
      <c r="BV8" s="254"/>
    </row>
    <row r="9" spans="1:83" ht="24.5" customHeight="1" x14ac:dyDescent="0.45">
      <c r="A9" s="129" t="s">
        <v>519</v>
      </c>
      <c r="B9" s="258" t="s">
        <v>151</v>
      </c>
      <c r="C9" s="140" t="s">
        <v>523</v>
      </c>
      <c r="D9" s="129" t="s">
        <v>524</v>
      </c>
      <c r="E9" s="221" t="s">
        <v>155</v>
      </c>
      <c r="F9" s="221" t="s">
        <v>525</v>
      </c>
      <c r="G9" s="140" t="s">
        <v>526</v>
      </c>
      <c r="H9" s="130" t="s">
        <v>527</v>
      </c>
      <c r="I9" s="110">
        <v>202312021</v>
      </c>
      <c r="J9" s="140" t="s">
        <v>528</v>
      </c>
      <c r="K9" s="166" t="s">
        <v>7</v>
      </c>
      <c r="L9" s="166">
        <v>1</v>
      </c>
      <c r="M9" s="166" t="s">
        <v>167</v>
      </c>
      <c r="N9" s="293" t="s">
        <v>352</v>
      </c>
      <c r="O9" s="293">
        <v>1</v>
      </c>
      <c r="P9" s="293" t="s">
        <v>474</v>
      </c>
      <c r="Q9" s="295">
        <v>45286</v>
      </c>
      <c r="R9" s="262">
        <v>100268392560</v>
      </c>
      <c r="S9" s="295">
        <v>45280</v>
      </c>
      <c r="T9" s="263">
        <v>337.5</v>
      </c>
      <c r="U9" s="263">
        <v>337.5</v>
      </c>
      <c r="V9" s="296">
        <f>1701/4</f>
        <v>425.25</v>
      </c>
      <c r="W9" s="293">
        <v>2100</v>
      </c>
      <c r="X9" s="293">
        <f>(V9*W9)*3%</f>
        <v>26790.75</v>
      </c>
      <c r="Y9" s="265">
        <f t="shared" si="0"/>
        <v>45990.787500000006</v>
      </c>
      <c r="Z9" s="267">
        <f t="shared" si="19"/>
        <v>17860.5</v>
      </c>
      <c r="AA9" s="293">
        <f>30000/4</f>
        <v>7500</v>
      </c>
      <c r="AB9" s="298" t="s">
        <v>112</v>
      </c>
      <c r="AC9" s="298" t="s">
        <v>112</v>
      </c>
      <c r="AD9" s="269">
        <f t="shared" si="20"/>
        <v>98142.037500000006</v>
      </c>
      <c r="AE9" s="270">
        <f t="shared" si="2"/>
        <v>46.781037875000003</v>
      </c>
      <c r="AF9" s="271">
        <f>(694695/4)/W9</f>
        <v>82.70178571428572</v>
      </c>
      <c r="AG9" s="271">
        <f>(20000/4)/W9</f>
        <v>2.3809523809523809</v>
      </c>
      <c r="AH9" s="269">
        <f t="shared" si="3"/>
        <v>0.53156250000000005</v>
      </c>
      <c r="AI9" s="271">
        <f t="shared" si="12"/>
        <v>2.0249999999999999</v>
      </c>
      <c r="AJ9" s="272">
        <f>291/4</f>
        <v>72.75</v>
      </c>
      <c r="AK9" s="260">
        <f>60/4</f>
        <v>15</v>
      </c>
      <c r="AL9" s="298" t="s">
        <v>112</v>
      </c>
      <c r="AM9" s="271">
        <f>(1048750/W9)/4</f>
        <v>124.85119047619048</v>
      </c>
      <c r="AN9" s="298" t="s">
        <v>112</v>
      </c>
      <c r="AO9" s="298" t="s">
        <v>112</v>
      </c>
      <c r="AP9" s="274">
        <f t="shared" si="15"/>
        <v>300.24049107142861</v>
      </c>
      <c r="AQ9" s="260">
        <f>200/4</f>
        <v>50</v>
      </c>
      <c r="AR9" s="275">
        <f t="shared" si="21"/>
        <v>397.02152894642859</v>
      </c>
      <c r="AS9" s="293"/>
    </row>
    <row r="10" spans="1:83" ht="24.5" customHeight="1" x14ac:dyDescent="0.45">
      <c r="A10" s="129" t="s">
        <v>520</v>
      </c>
      <c r="B10" s="258" t="s">
        <v>151</v>
      </c>
      <c r="C10" s="140" t="s">
        <v>523</v>
      </c>
      <c r="D10" s="129" t="s">
        <v>524</v>
      </c>
      <c r="E10" s="221" t="s">
        <v>155</v>
      </c>
      <c r="F10" s="221" t="s">
        <v>525</v>
      </c>
      <c r="G10" s="140" t="s">
        <v>526</v>
      </c>
      <c r="H10" s="130" t="s">
        <v>527</v>
      </c>
      <c r="I10" s="110">
        <v>202312022</v>
      </c>
      <c r="J10" s="140" t="s">
        <v>528</v>
      </c>
      <c r="K10" s="166" t="s">
        <v>7</v>
      </c>
      <c r="L10" s="166">
        <v>1</v>
      </c>
      <c r="M10" s="166" t="s">
        <v>167</v>
      </c>
      <c r="N10" s="293"/>
      <c r="O10" s="293"/>
      <c r="P10" s="293"/>
      <c r="Q10" s="293"/>
      <c r="R10" s="293"/>
      <c r="S10" s="293"/>
      <c r="T10" s="263">
        <v>337.5</v>
      </c>
      <c r="U10" s="263">
        <v>337.5</v>
      </c>
      <c r="V10" s="296">
        <f t="shared" ref="V10:V12" si="23">1701/4</f>
        <v>425.25</v>
      </c>
      <c r="W10" s="293">
        <v>2100</v>
      </c>
      <c r="X10" s="293">
        <f t="shared" ref="X10:X12" si="24">(V10*W10)*3%</f>
        <v>26790.75</v>
      </c>
      <c r="Y10" s="265">
        <f t="shared" si="0"/>
        <v>45990.787500000006</v>
      </c>
      <c r="Z10" s="267">
        <f t="shared" si="19"/>
        <v>17860.5</v>
      </c>
      <c r="AA10" s="293">
        <f t="shared" ref="AA10:AA12" si="25">30000/4</f>
        <v>7500</v>
      </c>
      <c r="AB10" s="298" t="s">
        <v>112</v>
      </c>
      <c r="AC10" s="298" t="s">
        <v>112</v>
      </c>
      <c r="AD10" s="269">
        <f t="shared" si="20"/>
        <v>98142.037500000006</v>
      </c>
      <c r="AE10" s="270">
        <f t="shared" si="2"/>
        <v>46.781037875000003</v>
      </c>
      <c r="AF10" s="271">
        <f t="shared" ref="AF10:AF12" si="26">(694695/4)/W10</f>
        <v>82.70178571428572</v>
      </c>
      <c r="AG10" s="271">
        <f t="shared" ref="AG10:AG12" si="27">(20000/4)/W10</f>
        <v>2.3809523809523809</v>
      </c>
      <c r="AH10" s="269">
        <f t="shared" si="3"/>
        <v>0.53156250000000005</v>
      </c>
      <c r="AI10" s="271">
        <f t="shared" si="12"/>
        <v>2.0249999999999999</v>
      </c>
      <c r="AJ10" s="272">
        <f t="shared" ref="AJ10:AJ12" si="28">291/4</f>
        <v>72.75</v>
      </c>
      <c r="AK10" s="260">
        <f t="shared" ref="AK10:AK12" si="29">60/4</f>
        <v>15</v>
      </c>
      <c r="AL10" s="298" t="s">
        <v>112</v>
      </c>
      <c r="AM10" s="271">
        <f t="shared" ref="AM10:AM12" si="30">(1048750/W10)/4</f>
        <v>124.85119047619048</v>
      </c>
      <c r="AN10" s="298" t="s">
        <v>112</v>
      </c>
      <c r="AO10" s="298" t="s">
        <v>112</v>
      </c>
      <c r="AP10" s="274">
        <f t="shared" si="15"/>
        <v>300.24049107142861</v>
      </c>
      <c r="AQ10" s="260">
        <f t="shared" ref="AQ10:AQ12" si="31">200/4</f>
        <v>50</v>
      </c>
      <c r="AR10" s="275">
        <f t="shared" si="21"/>
        <v>397.02152894642859</v>
      </c>
      <c r="AS10" s="293"/>
    </row>
    <row r="11" spans="1:83" ht="24.5" customHeight="1" x14ac:dyDescent="0.45">
      <c r="A11" s="129" t="s">
        <v>521</v>
      </c>
      <c r="B11" s="258" t="s">
        <v>151</v>
      </c>
      <c r="C11" s="140" t="s">
        <v>523</v>
      </c>
      <c r="D11" s="129" t="s">
        <v>524</v>
      </c>
      <c r="E11" s="221" t="s">
        <v>155</v>
      </c>
      <c r="F11" s="221" t="s">
        <v>525</v>
      </c>
      <c r="G11" s="140" t="s">
        <v>526</v>
      </c>
      <c r="H11" s="130" t="s">
        <v>527</v>
      </c>
      <c r="I11" s="110">
        <v>202312023</v>
      </c>
      <c r="J11" s="140" t="s">
        <v>528</v>
      </c>
      <c r="K11" s="166" t="s">
        <v>7</v>
      </c>
      <c r="L11" s="166">
        <v>1</v>
      </c>
      <c r="M11" s="166" t="s">
        <v>167</v>
      </c>
      <c r="N11" s="293"/>
      <c r="O11" s="293"/>
      <c r="P11" s="293"/>
      <c r="Q11" s="293"/>
      <c r="R11" s="293"/>
      <c r="S11" s="293"/>
      <c r="T11" s="263">
        <v>337.5</v>
      </c>
      <c r="U11" s="263">
        <v>337.5</v>
      </c>
      <c r="V11" s="296">
        <f t="shared" si="23"/>
        <v>425.25</v>
      </c>
      <c r="W11" s="293">
        <v>2100</v>
      </c>
      <c r="X11" s="293">
        <f t="shared" si="24"/>
        <v>26790.75</v>
      </c>
      <c r="Y11" s="265">
        <f t="shared" si="0"/>
        <v>45990.787500000006</v>
      </c>
      <c r="Z11" s="267">
        <f t="shared" si="19"/>
        <v>17860.5</v>
      </c>
      <c r="AA11" s="293">
        <f t="shared" si="25"/>
        <v>7500</v>
      </c>
      <c r="AB11" s="298" t="s">
        <v>112</v>
      </c>
      <c r="AC11" s="298" t="s">
        <v>112</v>
      </c>
      <c r="AD11" s="269">
        <f t="shared" si="20"/>
        <v>98142.037500000006</v>
      </c>
      <c r="AE11" s="270">
        <f t="shared" si="2"/>
        <v>46.781037875000003</v>
      </c>
      <c r="AF11" s="271">
        <f t="shared" si="26"/>
        <v>82.70178571428572</v>
      </c>
      <c r="AG11" s="271">
        <f t="shared" si="27"/>
        <v>2.3809523809523809</v>
      </c>
      <c r="AH11" s="269">
        <f t="shared" si="3"/>
        <v>0.53156250000000005</v>
      </c>
      <c r="AI11" s="271">
        <f t="shared" si="12"/>
        <v>2.0249999999999999</v>
      </c>
      <c r="AJ11" s="272">
        <f t="shared" si="28"/>
        <v>72.75</v>
      </c>
      <c r="AK11" s="260">
        <f t="shared" si="29"/>
        <v>15</v>
      </c>
      <c r="AL11" s="298" t="s">
        <v>112</v>
      </c>
      <c r="AM11" s="271">
        <f t="shared" si="30"/>
        <v>124.85119047619048</v>
      </c>
      <c r="AN11" s="298" t="s">
        <v>112</v>
      </c>
      <c r="AO11" s="298" t="s">
        <v>112</v>
      </c>
      <c r="AP11" s="274">
        <f t="shared" si="15"/>
        <v>300.24049107142861</v>
      </c>
      <c r="AQ11" s="260">
        <f t="shared" si="31"/>
        <v>50</v>
      </c>
      <c r="AR11" s="275">
        <f t="shared" si="21"/>
        <v>397.02152894642859</v>
      </c>
      <c r="AS11" s="293"/>
    </row>
    <row r="12" spans="1:83" ht="24.5" customHeight="1" x14ac:dyDescent="0.45">
      <c r="A12" s="129" t="s">
        <v>522</v>
      </c>
      <c r="B12" s="258" t="s">
        <v>151</v>
      </c>
      <c r="C12" s="140" t="s">
        <v>523</v>
      </c>
      <c r="D12" s="129" t="s">
        <v>524</v>
      </c>
      <c r="E12" s="221" t="s">
        <v>155</v>
      </c>
      <c r="F12" s="221" t="s">
        <v>525</v>
      </c>
      <c r="G12" s="140" t="s">
        <v>526</v>
      </c>
      <c r="H12" s="130" t="s">
        <v>527</v>
      </c>
      <c r="I12" s="110">
        <v>202312024</v>
      </c>
      <c r="J12" s="140" t="s">
        <v>528</v>
      </c>
      <c r="K12" s="166" t="s">
        <v>7</v>
      </c>
      <c r="L12" s="166">
        <v>1</v>
      </c>
      <c r="M12" s="166" t="s">
        <v>167</v>
      </c>
      <c r="N12" s="293"/>
      <c r="O12" s="293"/>
      <c r="P12" s="293"/>
      <c r="Q12" s="293"/>
      <c r="R12" s="293"/>
      <c r="S12" s="293"/>
      <c r="T12" s="263">
        <v>337.5</v>
      </c>
      <c r="U12" s="263">
        <v>337.5</v>
      </c>
      <c r="V12" s="296">
        <f t="shared" si="23"/>
        <v>425.25</v>
      </c>
      <c r="W12" s="293">
        <v>2100</v>
      </c>
      <c r="X12" s="293">
        <f t="shared" si="24"/>
        <v>26790.75</v>
      </c>
      <c r="Y12" s="265">
        <f t="shared" si="0"/>
        <v>45990.787500000006</v>
      </c>
      <c r="Z12" s="267">
        <f t="shared" si="19"/>
        <v>17860.5</v>
      </c>
      <c r="AA12" s="293">
        <f t="shared" si="25"/>
        <v>7500</v>
      </c>
      <c r="AB12" s="298" t="s">
        <v>112</v>
      </c>
      <c r="AC12" s="298" t="s">
        <v>112</v>
      </c>
      <c r="AD12" s="269">
        <f t="shared" si="20"/>
        <v>98142.037500000006</v>
      </c>
      <c r="AE12" s="270">
        <f t="shared" si="2"/>
        <v>46.781037875000003</v>
      </c>
      <c r="AF12" s="271">
        <f t="shared" si="26"/>
        <v>82.70178571428572</v>
      </c>
      <c r="AG12" s="271">
        <f t="shared" si="27"/>
        <v>2.3809523809523809</v>
      </c>
      <c r="AH12" s="269">
        <f t="shared" si="3"/>
        <v>0.53156250000000005</v>
      </c>
      <c r="AI12" s="271">
        <f t="shared" si="12"/>
        <v>2.0249999999999999</v>
      </c>
      <c r="AJ12" s="272">
        <f t="shared" si="28"/>
        <v>72.75</v>
      </c>
      <c r="AK12" s="260">
        <f t="shared" si="29"/>
        <v>15</v>
      </c>
      <c r="AL12" s="298" t="s">
        <v>112</v>
      </c>
      <c r="AM12" s="271">
        <f t="shared" si="30"/>
        <v>124.85119047619048</v>
      </c>
      <c r="AN12" s="298" t="s">
        <v>112</v>
      </c>
      <c r="AO12" s="298" t="s">
        <v>112</v>
      </c>
      <c r="AP12" s="274">
        <f t="shared" si="15"/>
        <v>300.24049107142861</v>
      </c>
      <c r="AQ12" s="260">
        <f t="shared" si="31"/>
        <v>50</v>
      </c>
      <c r="AR12" s="275">
        <f t="shared" si="21"/>
        <v>397.02152894642859</v>
      </c>
      <c r="AS12" s="293"/>
    </row>
    <row r="13" spans="1:83" ht="24.5" customHeight="1" x14ac:dyDescent="0.35">
      <c r="A13" s="294"/>
      <c r="B13" s="294"/>
      <c r="C13" s="294"/>
      <c r="D13" s="294"/>
      <c r="E13" s="294"/>
      <c r="F13" s="294"/>
      <c r="G13" s="294"/>
      <c r="H13" s="294"/>
      <c r="I13" s="294"/>
      <c r="J13" s="294"/>
      <c r="K13" s="294"/>
      <c r="L13" s="294"/>
      <c r="M13" s="294"/>
      <c r="N13" s="294"/>
      <c r="O13" s="294"/>
      <c r="P13" s="294"/>
      <c r="Q13" s="294"/>
      <c r="R13" s="294"/>
      <c r="S13" s="294"/>
      <c r="T13" s="297">
        <f>SUM(T9:T12)</f>
        <v>1350</v>
      </c>
      <c r="U13" s="297">
        <f>SUM(U9:U12)</f>
        <v>1350</v>
      </c>
      <c r="V13" s="297">
        <f>SUM(V9:V12)</f>
        <v>1701</v>
      </c>
      <c r="W13" s="294"/>
      <c r="X13" s="294">
        <f>SUM(X9:X12)</f>
        <v>107163</v>
      </c>
      <c r="Y13" s="294">
        <f>SUM(Y9:Y12)</f>
        <v>183963.15000000002</v>
      </c>
      <c r="Z13" s="294">
        <f>SUM(Z9:Z12)</f>
        <v>71442</v>
      </c>
      <c r="AA13" s="294">
        <f>SUM(AA9:AA12)</f>
        <v>30000</v>
      </c>
      <c r="AB13" s="294">
        <f>SUM(AB9:AB12)</f>
        <v>0</v>
      </c>
      <c r="AC13" s="294">
        <f>SUM(AC9:AC12)</f>
        <v>0</v>
      </c>
      <c r="AD13" s="294">
        <f>SUM(AD9:AD12)</f>
        <v>392568.15</v>
      </c>
      <c r="AE13" s="297">
        <f>SUM(AE9:AE12)</f>
        <v>187.12415150000001</v>
      </c>
      <c r="AF13" s="297">
        <f>SUM(AF9:AF12)</f>
        <v>330.80714285714288</v>
      </c>
      <c r="AG13" s="297">
        <f>SUM(AG9:AG12)</f>
        <v>9.5238095238095237</v>
      </c>
      <c r="AH13" s="297">
        <f>SUM(AH9:AH12)</f>
        <v>2.1262500000000002</v>
      </c>
      <c r="AI13" s="297">
        <f>SUM(AI9:AI12)</f>
        <v>8.1</v>
      </c>
      <c r="AJ13" s="297">
        <f>SUM(AJ9:AJ12)</f>
        <v>291</v>
      </c>
      <c r="AK13" s="297">
        <f>SUM(AK9:AK12)</f>
        <v>60</v>
      </c>
      <c r="AL13" s="297">
        <f>SUM(AL9:AL12)</f>
        <v>0</v>
      </c>
      <c r="AM13" s="297">
        <f>SUM(AM9:AM12)</f>
        <v>499.40476190476193</v>
      </c>
      <c r="AN13" s="297">
        <f>SUM(AN9:AN12)</f>
        <v>0</v>
      </c>
      <c r="AO13" s="297">
        <f>SUM(AO9:AO12)</f>
        <v>0</v>
      </c>
      <c r="AP13" s="297">
        <f>SUM(AP9:AP12)</f>
        <v>1200.9619642857144</v>
      </c>
      <c r="AQ13" s="297">
        <f>SUM(AQ9:AQ12)</f>
        <v>200</v>
      </c>
      <c r="AR13" s="297">
        <f>SUM(AR9:AR12)</f>
        <v>1588.0861157857144</v>
      </c>
      <c r="AS13" s="294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2021</vt:lpstr>
      <vt:lpstr>2022</vt:lpstr>
      <vt:lpstr>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Logistic 18</dc:creator>
  <cp:lastModifiedBy>ASUS</cp:lastModifiedBy>
  <cp:lastPrinted>2019-09-16T08:01:47Z</cp:lastPrinted>
  <dcterms:created xsi:type="dcterms:W3CDTF">2012-12-19T01:46:58Z</dcterms:created>
  <dcterms:modified xsi:type="dcterms:W3CDTF">2024-01-12T07:56:16Z</dcterms:modified>
</cp:coreProperties>
</file>