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eint theint hmwe(12.1.24)ylh\Theint Theint Hmwe\CE5 Data\CE5 BU Unit AR Report\BR Confirmation statement\"/>
    </mc:Choice>
  </mc:AlternateContent>
  <bookViews>
    <workbookView xWindow="0" yWindow="0" windowWidth="20490" windowHeight="7455" tabRatio="706" activeTab="2"/>
  </bookViews>
  <sheets>
    <sheet name="summary" sheetId="5" r:id="rId1"/>
    <sheet name="Than Naing &amp; Family Cons;" sheetId="4" state="hidden" r:id="rId2"/>
    <sheet name="Kyaw Min Tun" sheetId="3" r:id="rId3"/>
    <sheet name="San Thar Tun (STW)" sheetId="2" state="hidden" r:id="rId4"/>
    <sheet name="U Bo Lwin (STW)" sheetId="7" state="hidden" r:id="rId5"/>
    <sheet name="Chaw Su " sheetId="6" state="hidden" r:id="rId6"/>
    <sheet name="U Zaw Min" sheetId="9" state="hidden" r:id="rId7"/>
    <sheet name="Kyaw Min Tun (2)" sheetId="12" state="hidden" r:id="rId8"/>
  </sheets>
  <definedNames>
    <definedName name="_xlnm.Print_Area" localSheetId="5">'Chaw Su '!$A$1:$F$64</definedName>
    <definedName name="_xlnm.Print_Area" localSheetId="2">'Kyaw Min Tun'!$A$4:$F$44</definedName>
    <definedName name="_xlnm.Print_Area" localSheetId="7">'Kyaw Min Tun (2)'!$A$1:$F$33</definedName>
    <definedName name="_xlnm.Print_Area" localSheetId="1">'Than Naing &amp; Family Cons;'!$A$1:$F$69</definedName>
    <definedName name="_xlnm.Print_Area" localSheetId="4">'U Bo Lwin (STW)'!$A$3:$F$28</definedName>
    <definedName name="_xlnm.Print_Area" localSheetId="6">'U Zaw Min'!$A$3:$F$39</definedName>
  </definedNames>
  <calcPr calcId="152511"/>
</workbook>
</file>

<file path=xl/calcChain.xml><?xml version="1.0" encoding="utf-8"?>
<calcChain xmlns="http://schemas.openxmlformats.org/spreadsheetml/2006/main">
  <c r="E14" i="3" l="1"/>
  <c r="E12" i="3"/>
  <c r="D21" i="3" l="1"/>
  <c r="D23" i="3"/>
  <c r="D25" i="3"/>
  <c r="D27" i="3"/>
  <c r="D29" i="3"/>
  <c r="D31" i="3"/>
  <c r="D33" i="3"/>
  <c r="D35" i="3"/>
  <c r="C31" i="9" l="1"/>
  <c r="C27" i="9" l="1"/>
  <c r="E119" i="12"/>
  <c r="E43" i="12" s="1"/>
  <c r="C119" i="12"/>
  <c r="D113" i="12"/>
  <c r="D111" i="12"/>
  <c r="D107" i="12"/>
  <c r="D105" i="12"/>
  <c r="D103" i="12"/>
  <c r="D101" i="12"/>
  <c r="D99" i="12"/>
  <c r="D97" i="12"/>
  <c r="D95" i="12"/>
  <c r="D93" i="12"/>
  <c r="G90" i="12"/>
  <c r="G97" i="12" s="1"/>
  <c r="D90" i="12"/>
  <c r="D88" i="12"/>
  <c r="D86" i="12"/>
  <c r="D84" i="12"/>
  <c r="D82" i="12"/>
  <c r="D80" i="12"/>
  <c r="D78" i="12"/>
  <c r="D76" i="12"/>
  <c r="D74" i="12"/>
  <c r="D75" i="12" s="1"/>
  <c r="D72" i="12"/>
  <c r="D70" i="12"/>
  <c r="D68" i="12"/>
  <c r="D66" i="12"/>
  <c r="D64" i="12"/>
  <c r="D62" i="12"/>
  <c r="F52" i="12"/>
  <c r="F53" i="12" s="1"/>
  <c r="F54" i="12" s="1"/>
  <c r="F55" i="12" s="1"/>
  <c r="F56" i="12" s="1"/>
  <c r="F57" i="12" s="1"/>
  <c r="F58" i="12" s="1"/>
  <c r="F59" i="12" s="1"/>
  <c r="F60" i="12" s="1"/>
  <c r="F61" i="12" s="1"/>
  <c r="E46" i="12"/>
  <c r="E45" i="12"/>
  <c r="E34" i="12" s="1"/>
  <c r="E40" i="12"/>
  <c r="D37" i="12"/>
  <c r="E32" i="12"/>
  <c r="E10" i="12" s="1"/>
  <c r="D32" i="12"/>
  <c r="C32" i="12"/>
  <c r="F19" i="12"/>
  <c r="F20" i="12" s="1"/>
  <c r="F21" i="12" s="1"/>
  <c r="F22" i="12" s="1"/>
  <c r="F23" i="12" s="1"/>
  <c r="F24" i="12" s="1"/>
  <c r="F25" i="12" s="1"/>
  <c r="F26" i="12" s="1"/>
  <c r="F27" i="12" s="1"/>
  <c r="F28" i="12" s="1"/>
  <c r="F29" i="12" s="1"/>
  <c r="F30" i="12" s="1"/>
  <c r="F31" i="12" s="1"/>
  <c r="F32" i="12" s="1"/>
  <c r="E13" i="12"/>
  <c r="E12" i="12"/>
  <c r="E8" i="12"/>
  <c r="E7" i="12"/>
  <c r="D4" i="12"/>
  <c r="C23" i="9"/>
  <c r="C38" i="9"/>
  <c r="D41" i="9"/>
  <c r="E38" i="9"/>
  <c r="E10" i="9" s="1"/>
  <c r="D38" i="9"/>
  <c r="E8" i="9" s="1"/>
  <c r="F19" i="9"/>
  <c r="F20" i="9" s="1"/>
  <c r="F21" i="9" s="1"/>
  <c r="F22" i="9" s="1"/>
  <c r="F23" i="9" s="1"/>
  <c r="F24" i="9" s="1"/>
  <c r="F25" i="9" s="1"/>
  <c r="F26" i="9" s="1"/>
  <c r="F27" i="9" s="1"/>
  <c r="E7" i="9"/>
  <c r="D4" i="9"/>
  <c r="E39" i="3"/>
  <c r="D39" i="3"/>
  <c r="C39" i="3"/>
  <c r="F19" i="3"/>
  <c r="F20" i="3" s="1"/>
  <c r="E10" i="3"/>
  <c r="E8" i="3"/>
  <c r="E7" i="3"/>
  <c r="C6" i="3"/>
  <c r="D50" i="3"/>
  <c r="E53" i="3"/>
  <c r="E132" i="3"/>
  <c r="E56" i="3" s="1"/>
  <c r="C132" i="3"/>
  <c r="E33" i="2"/>
  <c r="E69" i="4"/>
  <c r="E10" i="4" s="1"/>
  <c r="D30" i="7"/>
  <c r="E58" i="3"/>
  <c r="E47" i="3" s="1"/>
  <c r="D126" i="3"/>
  <c r="D124" i="3"/>
  <c r="D120" i="3"/>
  <c r="D116" i="3"/>
  <c r="D112" i="3"/>
  <c r="D108" i="3"/>
  <c r="D101" i="3"/>
  <c r="D95" i="3"/>
  <c r="D89" i="3"/>
  <c r="D81" i="3"/>
  <c r="D30" i="2"/>
  <c r="A3" i="5"/>
  <c r="B3" i="5"/>
  <c r="E27" i="7"/>
  <c r="E10" i="7" s="1"/>
  <c r="C27" i="7"/>
  <c r="D27" i="7"/>
  <c r="E8" i="7" s="1"/>
  <c r="F19" i="7"/>
  <c r="F20" i="7" s="1"/>
  <c r="F21" i="7" s="1"/>
  <c r="F22" i="7" s="1"/>
  <c r="F23" i="7" s="1"/>
  <c r="F24" i="7" s="1"/>
  <c r="F25" i="7" s="1"/>
  <c r="F26" i="7" s="1"/>
  <c r="F27" i="7" s="1"/>
  <c r="E7" i="7"/>
  <c r="D4" i="7"/>
  <c r="C25" i="6"/>
  <c r="C26" i="6" s="1"/>
  <c r="C29" i="6" s="1"/>
  <c r="C30" i="6" s="1"/>
  <c r="C31" i="6" s="1"/>
  <c r="B11" i="5"/>
  <c r="D25" i="2"/>
  <c r="D57" i="6"/>
  <c r="D55" i="6"/>
  <c r="D51" i="6"/>
  <c r="D44" i="6"/>
  <c r="A11" i="5"/>
  <c r="E128" i="6"/>
  <c r="E79" i="6" s="1"/>
  <c r="D121" i="6"/>
  <c r="D119" i="6"/>
  <c r="D117" i="6"/>
  <c r="D115" i="6"/>
  <c r="D113" i="6"/>
  <c r="D111" i="6"/>
  <c r="D108" i="6"/>
  <c r="D106" i="6"/>
  <c r="C102" i="6"/>
  <c r="C103" i="6" s="1"/>
  <c r="D104" i="6" s="1"/>
  <c r="C99" i="6"/>
  <c r="D93" i="6"/>
  <c r="F88" i="6"/>
  <c r="F89" i="6" s="1"/>
  <c r="F90" i="6" s="1"/>
  <c r="F91" i="6" s="1"/>
  <c r="F92" i="6" s="1"/>
  <c r="F93" i="6" s="1"/>
  <c r="F94" i="6" s="1"/>
  <c r="F95" i="6" s="1"/>
  <c r="F96" i="6" s="1"/>
  <c r="F97" i="6" s="1"/>
  <c r="F98" i="6" s="1"/>
  <c r="F99" i="6" s="1"/>
  <c r="F100" i="6" s="1"/>
  <c r="F101" i="6" s="1"/>
  <c r="F102" i="6" s="1"/>
  <c r="F103" i="6" s="1"/>
  <c r="F104" i="6" s="1"/>
  <c r="F105" i="6" s="1"/>
  <c r="F106" i="6" s="1"/>
  <c r="F107" i="6" s="1"/>
  <c r="F108" i="6" s="1"/>
  <c r="F109" i="6" s="1"/>
  <c r="F110" i="6" s="1"/>
  <c r="F111" i="6" s="1"/>
  <c r="F112" i="6" s="1"/>
  <c r="F113" i="6" s="1"/>
  <c r="F114" i="6" s="1"/>
  <c r="F115" i="6" s="1"/>
  <c r="F116" i="6" s="1"/>
  <c r="F117" i="6" s="1"/>
  <c r="F118" i="6" s="1"/>
  <c r="F119" i="6" s="1"/>
  <c r="F120" i="6" s="1"/>
  <c r="F121" i="6" s="1"/>
  <c r="F122" i="6" s="1"/>
  <c r="F123" i="6" s="1"/>
  <c r="F124" i="6" s="1"/>
  <c r="F125" i="6" s="1"/>
  <c r="F126" i="6" s="1"/>
  <c r="F127" i="6" s="1"/>
  <c r="F128" i="6" s="1"/>
  <c r="E82" i="6"/>
  <c r="E76" i="6"/>
  <c r="D73" i="6"/>
  <c r="E63" i="6"/>
  <c r="E9" i="6" s="1"/>
  <c r="D53" i="6"/>
  <c r="D48" i="6"/>
  <c r="D46" i="6"/>
  <c r="D42" i="6"/>
  <c r="D40" i="6"/>
  <c r="D38" i="6"/>
  <c r="D23" i="6"/>
  <c r="F18" i="6"/>
  <c r="F19" i="6" s="1"/>
  <c r="F20" i="6" s="1"/>
  <c r="F21" i="6" s="1"/>
  <c r="F22" i="6" s="1"/>
  <c r="E6" i="6"/>
  <c r="D3" i="6"/>
  <c r="D87" i="3"/>
  <c r="D88" i="3" s="1"/>
  <c r="D79" i="3"/>
  <c r="A9" i="5"/>
  <c r="A7" i="5"/>
  <c r="A5" i="5"/>
  <c r="D65" i="4"/>
  <c r="C63" i="4"/>
  <c r="C69" i="4" s="1"/>
  <c r="H62" i="4"/>
  <c r="H64" i="4" s="1"/>
  <c r="H65" i="4" s="1"/>
  <c r="D61" i="4"/>
  <c r="D52" i="4"/>
  <c r="D48" i="4"/>
  <c r="D44" i="4"/>
  <c r="D40" i="4"/>
  <c r="D36" i="4"/>
  <c r="D31" i="4"/>
  <c r="G29" i="4"/>
  <c r="G30" i="4" s="1"/>
  <c r="D27" i="4"/>
  <c r="F19" i="4"/>
  <c r="F20" i="4" s="1"/>
  <c r="F21" i="4" s="1"/>
  <c r="F22" i="4" s="1"/>
  <c r="F23" i="4" s="1"/>
  <c r="F24" i="4" s="1"/>
  <c r="F25" i="4" s="1"/>
  <c r="F26" i="4" s="1"/>
  <c r="B5" i="5"/>
  <c r="E7" i="4"/>
  <c r="D4" i="4"/>
  <c r="D118" i="3"/>
  <c r="D114" i="3"/>
  <c r="D110" i="3"/>
  <c r="D106" i="3"/>
  <c r="G103" i="3"/>
  <c r="G110" i="3" s="1"/>
  <c r="D103" i="3"/>
  <c r="D99" i="3"/>
  <c r="D97" i="3"/>
  <c r="D93" i="3"/>
  <c r="D91" i="3"/>
  <c r="D85" i="3"/>
  <c r="D83" i="3"/>
  <c r="D77" i="3"/>
  <c r="D75" i="3"/>
  <c r="F65" i="3"/>
  <c r="F66" i="3" s="1"/>
  <c r="F67" i="3" s="1"/>
  <c r="F68" i="3" s="1"/>
  <c r="F69" i="3" s="1"/>
  <c r="F70" i="3" s="1"/>
  <c r="F71" i="3" s="1"/>
  <c r="F72" i="3" s="1"/>
  <c r="F73" i="3" s="1"/>
  <c r="F74" i="3" s="1"/>
  <c r="E59" i="3"/>
  <c r="E10" i="2"/>
  <c r="C33" i="2"/>
  <c r="F19" i="2"/>
  <c r="F20" i="2" s="1"/>
  <c r="F21" i="2" s="1"/>
  <c r="F22" i="2" s="1"/>
  <c r="F23" i="2" s="1"/>
  <c r="F24" i="2" s="1"/>
  <c r="F25" i="2" s="1"/>
  <c r="F26" i="2" s="1"/>
  <c r="F27" i="2" s="1"/>
  <c r="F28" i="2" s="1"/>
  <c r="F29" i="2" s="1"/>
  <c r="F30" i="2" s="1"/>
  <c r="F31" i="2" s="1"/>
  <c r="F32" i="2" s="1"/>
  <c r="F33" i="2" s="1"/>
  <c r="B9" i="5"/>
  <c r="E7" i="2"/>
  <c r="D4" i="2"/>
  <c r="F21" i="3" l="1"/>
  <c r="F22" i="3" s="1"/>
  <c r="F23" i="3" s="1"/>
  <c r="F24" i="3" s="1"/>
  <c r="F25" i="3" s="1"/>
  <c r="F26" i="3" s="1"/>
  <c r="F27" i="3" s="1"/>
  <c r="F28" i="3" s="1"/>
  <c r="F29" i="3" s="1"/>
  <c r="F30" i="3" s="1"/>
  <c r="F31" i="3" s="1"/>
  <c r="F32" i="3" s="1"/>
  <c r="F33" i="3" s="1"/>
  <c r="F34" i="3" s="1"/>
  <c r="F35" i="3" s="1"/>
  <c r="F36" i="3" s="1"/>
  <c r="F37" i="3" s="1"/>
  <c r="F38" i="3" s="1"/>
  <c r="F39" i="3" s="1"/>
  <c r="F75" i="3"/>
  <c r="F76" i="3" s="1"/>
  <c r="F77" i="3" s="1"/>
  <c r="F78" i="3" s="1"/>
  <c r="F79" i="3" s="1"/>
  <c r="F80" i="3" s="1"/>
  <c r="F81" i="3" s="1"/>
  <c r="F82" i="3" s="1"/>
  <c r="F83" i="3" s="1"/>
  <c r="F84" i="3" s="1"/>
  <c r="F85" i="3" s="1"/>
  <c r="F86" i="3" s="1"/>
  <c r="F87" i="3" s="1"/>
  <c r="F88" i="3" s="1"/>
  <c r="F89" i="3" s="1"/>
  <c r="F90" i="3" s="1"/>
  <c r="F91" i="3" s="1"/>
  <c r="F92" i="3" s="1"/>
  <c r="F93" i="3" s="1"/>
  <c r="F94" i="3" s="1"/>
  <c r="F95" i="3" s="1"/>
  <c r="F96" i="3" s="1"/>
  <c r="F97" i="3" s="1"/>
  <c r="F98" i="3" s="1"/>
  <c r="F99" i="3" s="1"/>
  <c r="F100" i="3" s="1"/>
  <c r="F101" i="3" s="1"/>
  <c r="F102" i="3" s="1"/>
  <c r="F103" i="3" s="1"/>
  <c r="F104" i="3" s="1"/>
  <c r="F105" i="3" s="1"/>
  <c r="F106" i="3" s="1"/>
  <c r="F107" i="3" s="1"/>
  <c r="F108" i="3" s="1"/>
  <c r="F109" i="3" s="1"/>
  <c r="F110" i="3" s="1"/>
  <c r="F111" i="3" s="1"/>
  <c r="F112" i="3" s="1"/>
  <c r="F113" i="3" s="1"/>
  <c r="F114" i="3" s="1"/>
  <c r="F115" i="3" s="1"/>
  <c r="F116" i="3" s="1"/>
  <c r="F117" i="3" s="1"/>
  <c r="F118" i="3" s="1"/>
  <c r="F119" i="3" s="1"/>
  <c r="F120" i="3" s="1"/>
  <c r="F121" i="3" s="1"/>
  <c r="F122" i="3" s="1"/>
  <c r="F123" i="3" s="1"/>
  <c r="F124" i="3" s="1"/>
  <c r="F125" i="3" s="1"/>
  <c r="F126" i="3" s="1"/>
  <c r="F127" i="3" s="1"/>
  <c r="F128" i="3" s="1"/>
  <c r="F129" i="3" s="1"/>
  <c r="F130" i="3" s="1"/>
  <c r="F131" i="3" s="1"/>
  <c r="F132" i="3" s="1"/>
  <c r="F23" i="6"/>
  <c r="F24" i="6" s="1"/>
  <c r="F25" i="6" s="1"/>
  <c r="F26" i="6" s="1"/>
  <c r="D128" i="6"/>
  <c r="D27" i="6"/>
  <c r="E81" i="6"/>
  <c r="D69" i="4"/>
  <c r="F27" i="4"/>
  <c r="F28" i="4" s="1"/>
  <c r="F29" i="4" s="1"/>
  <c r="F30" i="4" s="1"/>
  <c r="F31" i="4" s="1"/>
  <c r="F32" i="4" s="1"/>
  <c r="F33" i="4" s="1"/>
  <c r="F34" i="4" s="1"/>
  <c r="F35" i="4" s="1"/>
  <c r="F36" i="4" s="1"/>
  <c r="F37" i="4" s="1"/>
  <c r="F38" i="4" s="1"/>
  <c r="F39" i="4" s="1"/>
  <c r="F40" i="4" s="1"/>
  <c r="F41" i="4" s="1"/>
  <c r="F42" i="4" s="1"/>
  <c r="F43" i="4" s="1"/>
  <c r="F44" i="4" s="1"/>
  <c r="F45" i="4" s="1"/>
  <c r="F46" i="4" s="1"/>
  <c r="F47" i="4" s="1"/>
  <c r="F48" i="4" s="1"/>
  <c r="F49" i="4" s="1"/>
  <c r="F50" i="4" s="1"/>
  <c r="F51" i="4" s="1"/>
  <c r="F52" i="4" s="1"/>
  <c r="F53" i="4" s="1"/>
  <c r="F54" i="4" s="1"/>
  <c r="F55" i="4" s="1"/>
  <c r="F56" i="4" s="1"/>
  <c r="F57" i="4" s="1"/>
  <c r="F58" i="4" s="1"/>
  <c r="F59" i="4" s="1"/>
  <c r="F60" i="4" s="1"/>
  <c r="F61" i="4" s="1"/>
  <c r="F62" i="4" s="1"/>
  <c r="F63" i="4" s="1"/>
  <c r="F64" i="4" s="1"/>
  <c r="F65" i="4" s="1"/>
  <c r="F66" i="4" s="1"/>
  <c r="F67" i="4" s="1"/>
  <c r="F68" i="4" s="1"/>
  <c r="F69" i="4" s="1"/>
  <c r="E9" i="12"/>
  <c r="E11" i="12" s="1"/>
  <c r="F62" i="12"/>
  <c r="F63" i="12" s="1"/>
  <c r="F64" i="12" s="1"/>
  <c r="F65" i="12" s="1"/>
  <c r="F66" i="12" s="1"/>
  <c r="F67" i="12" s="1"/>
  <c r="F68" i="12" s="1"/>
  <c r="F69" i="12" s="1"/>
  <c r="F70" i="12" s="1"/>
  <c r="F71" i="12" s="1"/>
  <c r="F72" i="12" s="1"/>
  <c r="F73" i="12" s="1"/>
  <c r="F74" i="12" s="1"/>
  <c r="F75" i="12" s="1"/>
  <c r="F76" i="12" s="1"/>
  <c r="F77" i="12" s="1"/>
  <c r="F78" i="12" s="1"/>
  <c r="F79" i="12" s="1"/>
  <c r="F80" i="12" s="1"/>
  <c r="F81" i="12" s="1"/>
  <c r="F82" i="12" s="1"/>
  <c r="F83" i="12" s="1"/>
  <c r="F84" i="12" s="1"/>
  <c r="F85" i="12" s="1"/>
  <c r="F86" i="12" s="1"/>
  <c r="F87" i="12" s="1"/>
  <c r="F88" i="12" s="1"/>
  <c r="F89" i="12" s="1"/>
  <c r="F90" i="12" s="1"/>
  <c r="F91" i="12" s="1"/>
  <c r="F92" i="12" s="1"/>
  <c r="F93" i="12" s="1"/>
  <c r="F94" i="12" s="1"/>
  <c r="F95" i="12" s="1"/>
  <c r="F96" i="12" s="1"/>
  <c r="F97" i="12" s="1"/>
  <c r="F98" i="12" s="1"/>
  <c r="F99" i="12" s="1"/>
  <c r="F100" i="12" s="1"/>
  <c r="F101" i="12" s="1"/>
  <c r="F102" i="12" s="1"/>
  <c r="F103" i="12" s="1"/>
  <c r="F104" i="12" s="1"/>
  <c r="F105" i="12" s="1"/>
  <c r="F106" i="12" s="1"/>
  <c r="F107" i="12" s="1"/>
  <c r="F108" i="12" s="1"/>
  <c r="F109" i="12" s="1"/>
  <c r="F110" i="12" s="1"/>
  <c r="F111" i="12" s="1"/>
  <c r="F112" i="12" s="1"/>
  <c r="F113" i="12" s="1"/>
  <c r="F114" i="12" s="1"/>
  <c r="F115" i="12" s="1"/>
  <c r="F116" i="12" s="1"/>
  <c r="F117" i="12" s="1"/>
  <c r="F118" i="12" s="1"/>
  <c r="F119" i="12" s="1"/>
  <c r="D132" i="3"/>
  <c r="E60" i="3" s="1"/>
  <c r="E9" i="7"/>
  <c r="E11" i="7" s="1"/>
  <c r="E9" i="3"/>
  <c r="E11" i="3" s="1"/>
  <c r="D119" i="12"/>
  <c r="E41" i="12" s="1"/>
  <c r="E42" i="12" s="1"/>
  <c r="E44" i="12" s="1"/>
  <c r="C128" i="6"/>
  <c r="B7" i="5"/>
  <c r="E8" i="4"/>
  <c r="E9" i="4" s="1"/>
  <c r="E11" i="4" s="1"/>
  <c r="E14" i="4"/>
  <c r="E54" i="3"/>
  <c r="E55" i="3" s="1"/>
  <c r="E57" i="3" s="1"/>
  <c r="E83" i="6"/>
  <c r="E77" i="6"/>
  <c r="E78" i="6" s="1"/>
  <c r="E80" i="6" s="1"/>
  <c r="E14" i="2"/>
  <c r="D33" i="2"/>
  <c r="E8" i="2" s="1"/>
  <c r="E9" i="2" s="1"/>
  <c r="E11" i="2" s="1"/>
  <c r="C34" i="6"/>
  <c r="C35" i="6" s="1"/>
  <c r="D36" i="6" s="1"/>
  <c r="D32" i="6"/>
  <c r="E9" i="9"/>
  <c r="F28" i="9"/>
  <c r="F29" i="9" s="1"/>
  <c r="E11" i="9"/>
  <c r="B14" i="5" l="1"/>
  <c r="E47" i="12"/>
  <c r="F27" i="6"/>
  <c r="F28" i="6" s="1"/>
  <c r="F29" i="6" s="1"/>
  <c r="F30" i="6" s="1"/>
  <c r="F31" i="6" s="1"/>
  <c r="D63" i="6"/>
  <c r="E7" i="6" s="1"/>
  <c r="E8" i="6" s="1"/>
  <c r="E10" i="6" s="1"/>
  <c r="F30" i="9"/>
  <c r="F31" i="9" s="1"/>
  <c r="F32" i="9" s="1"/>
  <c r="F33" i="9" s="1"/>
  <c r="F34" i="9" s="1"/>
  <c r="F35" i="9" s="1"/>
  <c r="F36" i="9" s="1"/>
  <c r="F37" i="9" s="1"/>
  <c r="F38" i="9" s="1"/>
  <c r="C63" i="6"/>
  <c r="F32" i="6"/>
  <c r="F33" i="6" s="1"/>
  <c r="F34" i="6" s="1"/>
  <c r="F35" i="6" s="1"/>
  <c r="F36" i="6" s="1"/>
  <c r="F37" i="6" s="1"/>
  <c r="F38" i="6" s="1"/>
  <c r="F39" i="6" s="1"/>
  <c r="F40" i="6" s="1"/>
  <c r="F41" i="6" s="1"/>
  <c r="F42" i="6" s="1"/>
  <c r="F43" i="6" s="1"/>
  <c r="F44" i="6" s="1"/>
  <c r="F45" i="6" s="1"/>
  <c r="F46" i="6" s="1"/>
  <c r="F47" i="6" s="1"/>
  <c r="F48" i="6" s="1"/>
  <c r="F49" i="6" s="1"/>
  <c r="F50" i="6" s="1"/>
  <c r="F51" i="6" s="1"/>
  <c r="F52" i="6" s="1"/>
  <c r="F53" i="6" s="1"/>
  <c r="F54" i="6" s="1"/>
  <c r="F55" i="6" s="1"/>
  <c r="F56" i="6" s="1"/>
  <c r="F57" i="6" s="1"/>
  <c r="F58" i="6" s="1"/>
  <c r="F59" i="6" s="1"/>
  <c r="F60" i="6" s="1"/>
  <c r="F61" i="6" s="1"/>
  <c r="F62" i="6" s="1"/>
  <c r="F63" i="6" s="1"/>
</calcChain>
</file>

<file path=xl/comments1.xml><?xml version="1.0" encoding="utf-8"?>
<comments xmlns="http://schemas.openxmlformats.org/spreadsheetml/2006/main">
  <authors>
    <author>ayemoe.nwe</author>
  </authors>
  <commentList>
    <comment ref="A26" authorId="0" shapeId="0">
      <text>
        <r>
          <rPr>
            <b/>
            <sz val="9"/>
            <color indexed="81"/>
            <rFont val="Tahoma"/>
            <family val="2"/>
          </rPr>
          <t>ayemoe.nwe:</t>
        </r>
        <r>
          <rPr>
            <sz val="9"/>
            <color indexed="81"/>
            <rFont val="Tahoma"/>
            <family val="2"/>
          </rPr>
          <t xml:space="preserve">
Sittwe Branch BOH ( Nay Htun Lin ) agreed with customer to give All payment due at every end of month when we make deal with customer,he  request to pay this payment term.</t>
        </r>
      </text>
    </comment>
  </commentList>
</comments>
</file>

<file path=xl/sharedStrings.xml><?xml version="1.0" encoding="utf-8"?>
<sst xmlns="http://schemas.openxmlformats.org/spreadsheetml/2006/main" count="950" uniqueCount="381">
  <si>
    <t>Summary</t>
  </si>
  <si>
    <t>USD</t>
  </si>
  <si>
    <t>Customer  Statement</t>
  </si>
  <si>
    <t>စာခ်ဴပ္ပါအေရာင္းတန္ဘိုး</t>
  </si>
  <si>
    <t>Contacted Amt</t>
  </si>
  <si>
    <t>Customer</t>
  </si>
  <si>
    <t>CHAW SU CONSTRUCTION CO.,LTD (STW)</t>
  </si>
  <si>
    <t>ရက္လြန္ဒဏ္ေၾကး</t>
  </si>
  <si>
    <t>Fine to Date</t>
  </si>
  <si>
    <t>Contact Person</t>
  </si>
  <si>
    <t>စုစုေပါင္းရရန္ွရွိ</t>
  </si>
  <si>
    <t>Total AR</t>
  </si>
  <si>
    <t>Saleman</t>
  </si>
  <si>
    <t>Yae Wai Aung</t>
  </si>
  <si>
    <t>လက္ရွိေပးသြင္းျပီးေငြ</t>
  </si>
  <si>
    <t>Payment to Date</t>
  </si>
  <si>
    <t>No. Contract</t>
  </si>
  <si>
    <t>HS 515/2017</t>
  </si>
  <si>
    <t>စုစုေပါင္းေပးရန္တာ၀န္</t>
  </si>
  <si>
    <t>Total Payable</t>
  </si>
  <si>
    <t>Interest Rate</t>
  </si>
  <si>
    <t>အျမန္ဆံုးေပးသြင္းရမည့္ေငြ</t>
  </si>
  <si>
    <t>Overdue</t>
  </si>
  <si>
    <t>AR Invoice No</t>
  </si>
  <si>
    <t>AR 30001260</t>
  </si>
  <si>
    <t>ထပ္မံေပးရန္က်န္ရွိေငြ</t>
  </si>
  <si>
    <t>Future Due</t>
  </si>
  <si>
    <t>Sale Order No</t>
  </si>
  <si>
    <t>SO 30001060</t>
  </si>
  <si>
    <t>SUNWARD MEDIUM EXCAVATOR SE210LCE</t>
  </si>
  <si>
    <t xml:space="preserve"> Date</t>
  </si>
  <si>
    <t>Installment Plan</t>
  </si>
  <si>
    <t>Due</t>
  </si>
  <si>
    <t>Paid</t>
  </si>
  <si>
    <t xml:space="preserve"> Bal: </t>
  </si>
  <si>
    <t>Machine Price - $99000 (Landed Price),(include tax)</t>
  </si>
  <si>
    <t>26.July.2017</t>
  </si>
  <si>
    <t>10% upon on mc delivery time - $9900 (Jul-2017)</t>
  </si>
  <si>
    <t>13.Feb.2017</t>
  </si>
  <si>
    <t xml:space="preserve">RV 30002516(13.Feb.17)3639@ 1374= ks 5000000 </t>
  </si>
  <si>
    <t>04.July.2017</t>
  </si>
  <si>
    <t xml:space="preserve"> RV 30003044(04.July.2017) $ 6261@1357= ks 8,496,000.00</t>
  </si>
  <si>
    <t>26.Oct.2017</t>
  </si>
  <si>
    <t>After 3 months later - $ 14850 + $ 4945 = $ 19795 (Oct-2017)</t>
  </si>
  <si>
    <t>5% Fine calculate (26.Oct.17  to 26.Mar.2018)</t>
  </si>
  <si>
    <t>28.Feb.2018</t>
  </si>
  <si>
    <t>10.Mar.2018</t>
  </si>
  <si>
    <t>5% Fine Calculate for 3 month  later (26-Mar-2018 to 26-May-2018) $19127.71*5%*2</t>
  </si>
  <si>
    <t>26.Jan.2018</t>
  </si>
  <si>
    <t>After 6 months later - $ 14850 + $ 4121 = $ 18971 (Jan-2018)</t>
  </si>
  <si>
    <t>5% Fine calculate (26.Jan.17  to 26.Mar.2018)</t>
  </si>
  <si>
    <t>5% Fine Calculate for 6 month after (26-Mar-2018 to 26-May-2018)</t>
  </si>
  <si>
    <t>26.Apr.2018</t>
  </si>
  <si>
    <t>After 9 months later - $ 14850 + $ 3297 = $ 18147 (Apr-2018)</t>
  </si>
  <si>
    <t>5% Fine Calculate for 9 month later (26-April-2018 to 26-May-2018)</t>
  </si>
  <si>
    <t>26.July.2018</t>
  </si>
  <si>
    <t>After 12 months later - $ 14850 + $ 2473 = $ 17323 (Jul-2018)</t>
  </si>
  <si>
    <t>26.Oct.2018</t>
  </si>
  <si>
    <t>After 15 months later - $ 14850 + $ 1648 = $ 16498 (Oct-2018)</t>
  </si>
  <si>
    <t>26.Jan.2019</t>
  </si>
  <si>
    <t>After 18 months later - $ 14850 + $ 824 = $ 15674 (Jan-2019)</t>
  </si>
  <si>
    <t>Total</t>
  </si>
  <si>
    <t>Remark</t>
  </si>
  <si>
    <t>SAN THAR HTUN, U</t>
  </si>
  <si>
    <t>San Thar Htun, U</t>
  </si>
  <si>
    <t>Soe Lin (STW)</t>
  </si>
  <si>
    <t>AR-30001620</t>
  </si>
  <si>
    <t>SO Invoice No</t>
  </si>
  <si>
    <t>SO-30001523</t>
  </si>
  <si>
    <t>Particular</t>
  </si>
  <si>
    <t>14.Mar.2018</t>
  </si>
  <si>
    <t>Machine Price - $ 52217.55 (Include 5% Tax)</t>
  </si>
  <si>
    <t>25% Upon On Machine Delivery - $11,750 ( Mar'18 )</t>
  </si>
  <si>
    <t>19.Feb.2018</t>
  </si>
  <si>
    <t>14.July.2018</t>
  </si>
  <si>
    <t>After 4 month Later - $11,750 + $2,609 = $14,359 ( Jul'18 )</t>
  </si>
  <si>
    <t>After 8 month Later -$11,750 + $1,739 = $13,489 ( Nov'18 )</t>
  </si>
  <si>
    <t>14.Mar.2019</t>
  </si>
  <si>
    <t>After 12 Month Later -$11,750+ $870 = $12,620 ( Mar'19 )</t>
  </si>
  <si>
    <t>KYAW MIN TUN, U (STW)</t>
  </si>
  <si>
    <t>Kyaw Min Tun</t>
  </si>
  <si>
    <t>Aung Than Htay</t>
  </si>
  <si>
    <t>AR 30001086</t>
  </si>
  <si>
    <t>SO 30001116</t>
  </si>
  <si>
    <t>SUNWARD MINI EXCAVATOR SWE60E 1 unit /SN:SWE60E01250</t>
  </si>
  <si>
    <t>Machine Price   $55,000 (Landed Price )</t>
  </si>
  <si>
    <t>07.Apr.2017</t>
  </si>
  <si>
    <t>30% upon on mc delivery time - $ 16,500 (Apr-2017)</t>
  </si>
  <si>
    <t>10.Apr.2017</t>
  </si>
  <si>
    <t>RV 30002698(10.Apr.2017) $ 16500 @ 1366= ks 22,539,000.00</t>
  </si>
  <si>
    <t>07.May.2017</t>
  </si>
  <si>
    <t>After 1 month later  $ 3208 + $ 712 = $ 3921 (May-2017)</t>
  </si>
  <si>
    <t>19.May.2017</t>
  </si>
  <si>
    <t>RV 30002863, $ 3921@1366= ks 5,356,000</t>
  </si>
  <si>
    <t>07.Jun.2017</t>
  </si>
  <si>
    <t>After 2 months later  $ 3208 + $ 653 = $ 3861 (Jun-2017)</t>
  </si>
  <si>
    <t xml:space="preserve">5% Fine calculate (07.Jun.17  to 07.Jul.2017)$ 3861/5%*1 </t>
  </si>
  <si>
    <t>28.Jun.2017</t>
  </si>
  <si>
    <t>STW/2017/06/894, $ 193 (Fine)</t>
  </si>
  <si>
    <t>STW/2017/06/894, $ 3861</t>
  </si>
  <si>
    <t>07.July.2017</t>
  </si>
  <si>
    <t>After 3 months later  $ 3208 + $ 594 = $ 3802 (July-2017)</t>
  </si>
  <si>
    <t>5% Fine calculate (07.July.17  to 7.Feb.2018)</t>
  </si>
  <si>
    <t xml:space="preserve">Customer 28 (Or) 30'Sep'2017 Paid </t>
  </si>
  <si>
    <t>07.Feb.2018</t>
  </si>
  <si>
    <t>5% Fine calculate (07.Feb.18  to 7.May.2018)</t>
  </si>
  <si>
    <t>07.May.2018</t>
  </si>
  <si>
    <t>07.Aug.2017</t>
  </si>
  <si>
    <t>After 4 months later  $ 3208 + $ 534 = $ 3743 (Aug-2017)</t>
  </si>
  <si>
    <t>5% Fine calculate (07.Aug.17  to 7.Feb.2018)</t>
  </si>
  <si>
    <t xml:space="preserve"> udkkaevif;xGef;rSwfyHkwifaysmufaerxkwf&amp;ao; 17 &amp;uf10vydkif;2017 xkwfrnfajym</t>
  </si>
  <si>
    <t>07.Sep.2017</t>
  </si>
  <si>
    <t>After 5 months later  $ 3208 + $ 475 = $ 3683 (Sep-2017)</t>
  </si>
  <si>
    <t>5% Fine calculate (07.Sep.17  to 7.Feb.2018)</t>
  </si>
  <si>
    <t>07.Oct.2017</t>
  </si>
  <si>
    <t>After 6 months later  $ 3208 + $ 415 = $ 3624 (Oct-2017)</t>
  </si>
  <si>
    <t>5% Fine calculate (07.Oct .17  to 7.Feb.2018)</t>
  </si>
  <si>
    <t>07.Nov.2017</t>
  </si>
  <si>
    <t>After 7 months later  $ 3208 + $ 356 = $ 3564 (Nov-2017)</t>
  </si>
  <si>
    <t>5% Fine calculate (07.Nov .17  to 7.Feb.2018)</t>
  </si>
  <si>
    <t>07.Dec.2017</t>
  </si>
  <si>
    <t>After 8 months later  $ 3208 + $ 297 = $ 3505 (Dec-2017)</t>
  </si>
  <si>
    <t>5% Fine calculate (07.Dec .17  to 7.May.2018)</t>
  </si>
  <si>
    <t>07.Jan.2018</t>
  </si>
  <si>
    <t>After 9 months later  $ 3208 + $ 237 = $ 3446 (Jan-2018)</t>
  </si>
  <si>
    <t>5% Fine calculate (07.Jan .18  to 7.May.2018)</t>
  </si>
  <si>
    <t>After 10 months later  $ 3208 + $ 178 = $ 3386 (Feb-2018)</t>
  </si>
  <si>
    <t>5% Fine calculate (07.Feb .18  to 7.May.2018)</t>
  </si>
  <si>
    <t>07.Mar.2018</t>
  </si>
  <si>
    <t>After 11 months later  $ 3208 + $ 119 = $ 3327 (Mar-2018)</t>
  </si>
  <si>
    <t>5% Fine Calculate  for after 11 month later (7-Mar-2018 to 7-May-2018)</t>
  </si>
  <si>
    <t>07.Apr.2018</t>
  </si>
  <si>
    <t>After 12 months later  $ 3208 + $ 59 = $ 3268 (April-2018)</t>
  </si>
  <si>
    <t>THAN NAING &amp; FAMILY CONSTRUCTION</t>
  </si>
  <si>
    <t>U Than Naing</t>
  </si>
  <si>
    <t>Ko Nay Htun Linn</t>
  </si>
  <si>
    <t>HS-303/2016(17.May.2016)</t>
  </si>
  <si>
    <t>Remark :</t>
  </si>
  <si>
    <t xml:space="preserve"> Sittwe Branch BOH ( Ko Nay Htun Lin ) agreed with customer to give all payment due at every end of month when we make deal with customer,he  request to pay this payment term.</t>
  </si>
  <si>
    <t>AR 30000732</t>
  </si>
  <si>
    <t>SO 30000765</t>
  </si>
  <si>
    <t>Customer tight cash flow.</t>
  </si>
  <si>
    <t>SUNWARD MEDIUM EXCAVATOR SE210LCE 2 unit /SN: SE210LCE00951,  SE210LCE00952</t>
  </si>
  <si>
    <t>17.May.2016</t>
  </si>
  <si>
    <t>Machine Price - $ 196,000 (Landed Price ) for 2 units</t>
  </si>
  <si>
    <t>Upon on mc delivery time - 50,000,000 Kyats @ 1175 rate - $ 42553.19 (May-2016)</t>
  </si>
  <si>
    <t>18.May.2016</t>
  </si>
  <si>
    <t>RV 30001694(18.May.2016) $ 42553.19 @ 1175= ks 500 lakh</t>
  </si>
  <si>
    <t>17.Jun.2016</t>
  </si>
  <si>
    <t>After 1 month later - $ 12,787.2 + $ 2301.7 = $ 15089 (Jun-2016)</t>
  </si>
  <si>
    <t>27.Jun.2016</t>
  </si>
  <si>
    <t>RV 30001799(30.Jun.16) ~STW/RV/171 (27.Jun.2016) $ 15089 @ 1186 =17,895,000</t>
  </si>
  <si>
    <t>17.Jul.2016</t>
  </si>
  <si>
    <t>After 2 months later - $ 12,787.2 + $ 2109.8 = $ 14897 (JuL-2016)</t>
  </si>
  <si>
    <t>29.July.2016</t>
  </si>
  <si>
    <t>RV 30001926(01.Aug.16) ~STW/RV/233(29.July.2016) $ 14,897 @1189</t>
  </si>
  <si>
    <t>17.Aug.2016</t>
  </si>
  <si>
    <t>After 3 months later - $ 12,787.2 + $ 1918.1 = $ 14705 (Aug-2016)</t>
  </si>
  <si>
    <t>31.Aug.2016</t>
  </si>
  <si>
    <t>5% Fine calculate (31.Aug.16 to 30.Nov.2016)</t>
  </si>
  <si>
    <t>16.Nov.2016</t>
  </si>
  <si>
    <t>RV 30002238(25.Nov.2016)~RV/STW/2016/11/458 (16.Nov.2016) $ 14705@ 1310= ks 19,263,500</t>
  </si>
  <si>
    <t>04.April.2017</t>
  </si>
  <si>
    <t>RV/STW/2017/04//236 , (04.Apr.17)~KBZ ref: 021CMCS170951007(05.Apr.17), $ 2205.75 @ 1358 (Fine)</t>
  </si>
  <si>
    <t>17.Sep.2016</t>
  </si>
  <si>
    <t>After 4 months later - $ 12,787.2 + $ 1726.2= $ 14513 (Sep-2016)</t>
  </si>
  <si>
    <t>31.Sep.2016</t>
  </si>
  <si>
    <t>5% Fine calculate (31.Sep.16 to 30.Nov.2016)</t>
  </si>
  <si>
    <t>RV 30002238(25.Nov.2016)~RV/STW/2016/11/459 (16.Nov.2016) $ 14513@ 1310= ks 19,012,000/</t>
  </si>
  <si>
    <t>25.Nov.2016</t>
  </si>
  <si>
    <t>RV 30002251 (25.Nov.2016)(bank charges )</t>
  </si>
  <si>
    <t>RV/STW/2017/04//236 , (04.Apr.17)~KBZ ref: 021CMCS170951007(05.Apr.17), $ 1541.3 @ 1358 (Fine)</t>
  </si>
  <si>
    <t>17.Oct.2016</t>
  </si>
  <si>
    <t>After 5 months later - $ 12,787.2 + $ 1534.4= $ 14322 (Oct-2016)</t>
  </si>
  <si>
    <t>31.Oct.2016</t>
  </si>
  <si>
    <t>5% Fine calculate (31.Oct.16 to 30.Jan.2017)</t>
  </si>
  <si>
    <t>08.Feb.2017</t>
  </si>
  <si>
    <t>RV 30002463 (08.Feb.2017), 14322 @ 1361</t>
  </si>
  <si>
    <t>RV/STW/2017/04//236 , (04.Apr.17)~KBZ ref: 021CMCS170951007(05.Apr.17), $ 2148.3 @ 1358 (Fine)</t>
  </si>
  <si>
    <t>17.Nov.2016</t>
  </si>
  <si>
    <t>After 6 months later - $ 12,787.2 + $ 1342.6= $ 14130 (Nov-2016)</t>
  </si>
  <si>
    <t>31.Nov.2016</t>
  </si>
  <si>
    <t>5% Fine calculate (31.Nov.16 to 30.Jan-2017)</t>
  </si>
  <si>
    <t>RV 30002463 (08.Feb.2017) , 14130 @ 1361</t>
  </si>
  <si>
    <t>RV/STW/2017/04//236 , (04.Apr.17)~KBZ ref: 021CMCS170951007(05.Apr.17), $ 1413 @ 1358 (Fine)</t>
  </si>
  <si>
    <t>17.Dec.2016</t>
  </si>
  <si>
    <t>After 7 months later - $ 12,787.2 + $ 1150.8 = $ 13938 (Dec-2016)</t>
  </si>
  <si>
    <t>31.Dec.2016</t>
  </si>
  <si>
    <t>5% Fine calculate (31.Dec.16 to 30.Feb-2017)</t>
  </si>
  <si>
    <t>17.Feb.2017</t>
  </si>
  <si>
    <t>RV 30002503 ~ RV/STW/2017/02/139, $ 13,938 @ 1365</t>
  </si>
  <si>
    <t>RV/STW/2017/04//236 , (04.Apr.17)~KBZ ref: 021CMCS170951007(05.Apr.17), $ 1393.8 @ 1358 (Fine)</t>
  </si>
  <si>
    <t>17.Jan.2017</t>
  </si>
  <si>
    <t>After 8 months later - $ 12,787.23 + $ 959 = $ 13746 (Jan-2017)</t>
  </si>
  <si>
    <t>31.Jan.2017</t>
  </si>
  <si>
    <t>5% Fine calculate (31.Jan.2017 to 30.Feb-2017)</t>
  </si>
  <si>
    <t>RV30002503 ~ RV/STW/2017/02/138, $ 13,746 @ 1365</t>
  </si>
  <si>
    <t>RV/STW/2017/04//236 , (04.Apr.17)~KBZ ref: 021CMCS170951007(05.Apr.17), $ 687.3@ 1358 (Fine)</t>
  </si>
  <si>
    <t>After 9 months later - $ 12,787.2 + $ 767.2= $ 13554 (Feb-2017)</t>
  </si>
  <si>
    <t>31.Feb.2017</t>
  </si>
  <si>
    <t>5% Fine calculate (31.Feb.2017 to 30.Mar-2017)</t>
  </si>
  <si>
    <t>RV/STW/2017/04//236 , (04.Apr.17)~KBZ ref: 021CMCS170951007(05.Apr.17), $ 677.7@ 1358 (Fine)</t>
  </si>
  <si>
    <t>RV/STW/2017/04/236 (04.Apr.14) ~KBZ ref: 021CMCS170951007 (05.Apr.17) $ 13,554@ 1358</t>
  </si>
  <si>
    <t>17.Mar.2017</t>
  </si>
  <si>
    <t>After 10 months later - $ 12,787.2 + $ 575.4 = $ 13363 (Mar-2017)</t>
  </si>
  <si>
    <t xml:space="preserve">RV/STW/2017/04/236 (04.Apr.14) ~KBZ ref: 021CMCS170951007 (05.Apr.17) $ 3385.85 @ 1358 </t>
  </si>
  <si>
    <t>30.Mar.2017</t>
  </si>
  <si>
    <t>5% Fine calculate (30.Mar.2017 to 30.Aug-2017) $ 9977.15@5%*5</t>
  </si>
  <si>
    <t>31.Aug.2017</t>
  </si>
  <si>
    <t>RV/STW/2017/08/490, $ 26150@1355= KS 35,433,250</t>
  </si>
  <si>
    <t>17.Apr.2017</t>
  </si>
  <si>
    <t>After 11 months later - $ 12,787.2 + $ 383.6 = $ 13171 (Apr-2017)</t>
  </si>
  <si>
    <t>30.Apr.2017</t>
  </si>
  <si>
    <t>5% Fine calculate (30.Apr.2017 to 30.Aug-2017)</t>
  </si>
  <si>
    <t>17.May.2017</t>
  </si>
  <si>
    <t>After 12 months later - $ 12,787.2 + $ 191.8 = $ 12979 (May-2017)</t>
  </si>
  <si>
    <t>30.May.2017</t>
  </si>
  <si>
    <t>5% Fine calculate (30.May.2017 to 30.Aug-2017)</t>
  </si>
  <si>
    <t xml:space="preserve"> Customer request fine interest amount will pay next time.Coz customer  tight cash flow.</t>
  </si>
  <si>
    <t>Company Name</t>
  </si>
  <si>
    <t xml:space="preserve">Principal </t>
  </si>
  <si>
    <t>Sale man</t>
  </si>
  <si>
    <t>Address</t>
  </si>
  <si>
    <t>Phone No.</t>
  </si>
  <si>
    <t>KS</t>
  </si>
  <si>
    <t>No.(720), Kan Gyi Aung St, Saw Bwar Gyi Kone Quarter</t>
  </si>
  <si>
    <t>09-5116118 , 09-444691976</t>
  </si>
  <si>
    <t>Nay Htun Linn</t>
  </si>
  <si>
    <t>Pauk Taw Tsp, Sittwe, Rakhine State.</t>
  </si>
  <si>
    <t>09-258907886 , 09-448204231</t>
  </si>
  <si>
    <t>Kyauk Taw Tsp, Rakhine State</t>
  </si>
  <si>
    <t>09-8532202</t>
  </si>
  <si>
    <t>Soe Lin (Sittwe)</t>
  </si>
  <si>
    <t>Ponenarkyun T/S, Sittwe Division, Rakhine State.</t>
  </si>
  <si>
    <t>09-421746770 , 09-421746771</t>
  </si>
  <si>
    <t>Customer မွ rate တက္ေနသျဖင့္ ေနာက္က်ျခင္းျဖစ္ပါသည္။ မဇင္ approved (24/July/18 )</t>
  </si>
  <si>
    <t>BCE-RV-18020061~RV 30003917~RV/STW/2018/02/124 (19-2-2018) Total MMK 6,000,000/-@ 1327 Rate $ 4521/- (Fine Chgs;)</t>
  </si>
  <si>
    <t>BCE-RV-18050014 ~STW/RV/2018/05/294(18-5-2018) Total MMk 7,000,000/-@ 1348 Rate $ 5193 /- (Fine Chgs;)</t>
  </si>
  <si>
    <t>BCE-RV-18080056, BCE-RV-18080057~RV/STW/2018/08/484 (21/Aug/18) ( $ 1340.48 @ 1492 = 2,000,000 )</t>
  </si>
  <si>
    <t>BCE-RV-18070036, BCE-RV-18070037~RV 30004107 (24/July/18)~RV/STW/2018/07/436 (24/July/18) ( $ 14359 @ 1423 = ks 20,432,800 )</t>
  </si>
  <si>
    <t xml:space="preserve">BCE-RV-18020198, BCE-RV-18020199~RV-30003620 (1-2-2018) Total Amount </t>
  </si>
  <si>
    <t>BCE-RV-18020200~RV/STW/2018/02/144 $3756.57@1331=KS 5,000,000</t>
  </si>
  <si>
    <t>BCE-RV-18030025, RV/STW/2018/03/166 $3756.574 @1331=KS 5,000,000</t>
  </si>
  <si>
    <t>BCE-RV-18030025, BCE-RV-18030026~RV/STW/2018/03/166 $3756.574 @1331=KS 5,000,000</t>
  </si>
  <si>
    <t>BCE-RV-18050024~STW/RV/275  (14-5-2018) Total MMk 5,000,000/- @ 1344 Rate $ 3720/-  (Fine Chgs; $ )</t>
  </si>
  <si>
    <t>BCE-RV-18070038, RV/30004226 (17/July/18)~RV/STW/2018/06/323  $ 3706.45 @1349=TOTAL 5000000</t>
  </si>
  <si>
    <t>BCE-RV-18070038, BCE-RV-18090003~RV 30004227 (17/July/18)~RV/STW/2018/06/323  $ 3706.45 @1349=TOTAL 5000000</t>
  </si>
  <si>
    <t>BCE-RV-18070039, RV 30004218 (11/July/18)~RV/STW/2018/07/394 (11/July/18) ($ 3571.43 @ 1400 = ks 5,000,000 )</t>
  </si>
  <si>
    <t>BCE-RV-18070039, BCE-RV-18070040~RV 30004220 (11/July/18)~RV/STW/2018/07/394 (11/July/18) ($ 3571.43 @ 1400 = ks 5,000,000 )</t>
  </si>
  <si>
    <t>SUNWARD MINI EXCAVATOR SE50U  /  SWE50E00632</t>
  </si>
  <si>
    <t>5% Fine calculate (07.May.18  to 7.Oct.2018)</t>
  </si>
  <si>
    <t>BCE-RV-18100018(4/Oct/18)~RV/STW/2018/10/563 (4/Oct/18) ( $ 1250 @ 1520 = ks 1,900,000 )</t>
  </si>
  <si>
    <t xml:space="preserve">5% Fine Calculate for 3 month  later (26-May-2018 to 26-July-2018) </t>
  </si>
  <si>
    <t>5% Fine Calculate for 3 month  later (26-May-2018 to 26-July-2018) $ 16418.71*5%</t>
  </si>
  <si>
    <t>5% Fine Calculate for 3 month  later (26-July-2018 to 26-Oct-2018)</t>
  </si>
  <si>
    <t>5% Fine calculate (26.Oct.17  to 26.Apr.2018)</t>
  </si>
  <si>
    <t>5% Fine calculate (26.Apr.18  to 26.Jul.2018)</t>
  </si>
  <si>
    <t>26.Jul.2018</t>
  </si>
  <si>
    <t>5% Fine calculate (26.Jul.18  to 26.Oct.2018)</t>
  </si>
  <si>
    <t>26.Jan.2017</t>
  </si>
  <si>
    <t>5% Fine calculate (26.Jan.17  to 26.Apr.2018)</t>
  </si>
  <si>
    <t>5% Fine calculate (26.Oct.18  to 26.Jan.2019)</t>
  </si>
  <si>
    <t>07.Oct.2018</t>
  </si>
  <si>
    <t>Chaw Su စက္ကို collector မွျပန္သိမ္းထားပါတယ္</t>
  </si>
  <si>
    <t>BCE-RV-18120030, BCE-RV-18120031(20/Dec/18)~RV/STW/2018/12/733 (20/Dec/18) ($13489@1565 = ks 21,110,000 )</t>
  </si>
  <si>
    <t>5% Fine Calculate  for after 8 month later (14-Nov-2018 to 14-Jan-2019)</t>
  </si>
  <si>
    <t>04-CFD-ARD-FRM-001-00 (Discount Form) (USD 337.23)</t>
  </si>
  <si>
    <t>Credit Memo (Sale Return) (17/Dec/18)</t>
  </si>
  <si>
    <t>BCE-RV-18080056~RV/STW/2018/08/484 (21/Aug/18) ( $ 1340.48 @ 1492 = 2,000,000 )</t>
  </si>
  <si>
    <t>BCE-RV-18100104(22/Oct/18)~RV/STW/2018/10/598 (26/Oct/18) ($3164.56@1580 = ks 5000000 )</t>
  </si>
  <si>
    <t>No</t>
  </si>
  <si>
    <t>Branch</t>
  </si>
  <si>
    <t xml:space="preserve">Customer </t>
  </si>
  <si>
    <t>Product</t>
  </si>
  <si>
    <t>Brand</t>
  </si>
  <si>
    <t xml:space="preserve">Model </t>
  </si>
  <si>
    <t>Serial No</t>
  </si>
  <si>
    <t>Date of Sale</t>
  </si>
  <si>
    <t>Warranty Term</t>
  </si>
  <si>
    <t>W/NW</t>
  </si>
  <si>
    <t>Repossess Date</t>
  </si>
  <si>
    <t>Repossess Hour Meter</t>
  </si>
  <si>
    <t>PIC</t>
  </si>
  <si>
    <t>PIC Ph No</t>
  </si>
  <si>
    <t>Medium Excavator</t>
  </si>
  <si>
    <t>Sunward</t>
  </si>
  <si>
    <t>SE210LCE</t>
  </si>
  <si>
    <t>1 year , unlimited  hrs</t>
  </si>
  <si>
    <t>NW</t>
  </si>
  <si>
    <t>Sittwe</t>
  </si>
  <si>
    <t>Chaw Su Construction</t>
  </si>
  <si>
    <t>00988</t>
  </si>
  <si>
    <t>4305.4 hrs</t>
  </si>
  <si>
    <t>Zin Ko Ko Htet</t>
  </si>
  <si>
    <t>Contracted Amt</t>
  </si>
  <si>
    <t>BO LWIN</t>
  </si>
  <si>
    <t xml:space="preserve">Aung Than Htay </t>
  </si>
  <si>
    <t>HS-00019</t>
  </si>
  <si>
    <t>No interest</t>
  </si>
  <si>
    <t>STW-BCE-UNT-SI-19020014</t>
  </si>
  <si>
    <t xml:space="preserve">STW-BSO-UNT-2019-01-0003 </t>
  </si>
  <si>
    <t>SCHWING SETTER-Self Loading Mobile Concrete / SN : 707</t>
  </si>
  <si>
    <t>Machine Price - $ 92000 (Include 5% Tax) &amp; Principle $87619.05 , 5% $4380.95 = Total Price $92000</t>
  </si>
  <si>
    <t xml:space="preserve">50% Downpayment - $46000  </t>
  </si>
  <si>
    <t>After 6 Month Later by delivery -$46000  ( Aug'19 )</t>
  </si>
  <si>
    <t xml:space="preserve">PA LET WA TOWNSHIP, MINDAT DISTRICT,CHIN STATE. </t>
  </si>
  <si>
    <t xml:space="preserve">Tel: 09-49670830, 09-783955410 </t>
  </si>
  <si>
    <t>BCE-RV-19020040, BCE-RV-19020041(20/Feb/19)~RV/C&amp;C/2019/02/001 (20/Feb/19) ($45341.67 @1519 = Ks 68874000)</t>
  </si>
  <si>
    <t>BCE-RV-18020200, BCE-RV-18020329(28/Feb/19)~RV/STW/2018/02/144 $3756.57@1331=KS 5,000,000</t>
  </si>
  <si>
    <t>BCE-RV-18030025 (12/Mar/18), BCE-RV-18030254~RV/STW/2018/03/166 $3756.574 @1331=KS 5,000,000</t>
  </si>
  <si>
    <t>BCE-RV-18050024, BCE-RV-18050223(14/may/18)~STW/RV/275  (14-5-2018) Total MMk 5,000,000/- @ 1344 Rate $ 3720/-  (Fine Chgs; $ )</t>
  </si>
  <si>
    <t>BCE-RV-18070038, BCE-RV-18090003, BCE-RV-18070228~RV 30004227 (17/July/18)~RV/STW/2018/06/323  $ 3706.45 @1349=TOTAL 5000000</t>
  </si>
  <si>
    <t>BCE-RV-18070039, RV 30004218 (11/July/18), BCE-RV-18070229~RV/STW/2018/07/394 (11/July/18) ($ 3571.43 @ 1400 = ks 5,000,000 )</t>
  </si>
  <si>
    <t>BCE-RV-18100104(22/Oct/18), BCE-RV-18100109~RV/STW/2018/10/598 (26/Oct/18) ($3164.56@1580 = ks 5000000 )</t>
  </si>
  <si>
    <t>BCE-RV-18100105(26/Oct/18), BCE-RV-18100110~RV/STW/2018/10/599 (26/Oct/18) ( $ 253.16 @ 1580 = ks 400,000 )</t>
  </si>
  <si>
    <t>Sale man phone</t>
  </si>
  <si>
    <t>Legal Notice Letter ေပးပို႔ထားပါသည္။ (22/Apr/19) ေန႔ေနာက္ဆံုးထားရက္သတ္မွတ္ထားပါသည္။</t>
  </si>
  <si>
    <t xml:space="preserve"> </t>
  </si>
  <si>
    <t>5% Fine Calculate  for after 12 month later (14-Mar-2019 to 14-Jul-2019)</t>
  </si>
  <si>
    <t>BCE-RV-19040023, BCE-RV-19040024(24/Apr/19)~RV/STW/2019/04/2629 (24/Apr/19) ($12620 @1525 = ks 19245500)</t>
  </si>
  <si>
    <t>SUNWARD MEDIUM EXCAVATOR SE210LCE / SN : SE210LCE00988</t>
  </si>
  <si>
    <t>5% Fine calculate (07.Oct.18  to 7.June.2019)</t>
  </si>
  <si>
    <t>5% Fine calculate (07.Oct.18  to 7..June.2019)</t>
  </si>
  <si>
    <t>5% Fine calculate (07.May.18  to 7.June.2019)</t>
  </si>
  <si>
    <t>5% Fine Calculate  for after 12 month later (7-April-2018 to 7-.June.2019)</t>
  </si>
  <si>
    <t>09-961828856</t>
  </si>
  <si>
    <t>BCE-RV-19010169 , BCE-RV-19010170 (15/Jan/19)~RV/STW/2019/01/026 (1/14/2019) ($658.33@1519 = ks 1,000,000)</t>
  </si>
  <si>
    <t>BCE-RV-19080030 (2019-08-29 )~CNC/RV/2019/08/14953 (29-Aug-19) (Transfer to Daw Marlar Win Account ) ($46000@1518 = KS 69,828,000 )</t>
  </si>
  <si>
    <t xml:space="preserve">BOH </t>
  </si>
  <si>
    <t>Customer ဘက္မွ Final Due မွာေက်ာ္သြားခဲ့ေသာ ရက္လြန္ေၾကးကို မေပးပါသျဖင့္ Handover Contract ကိုလြဲေျပာင္းထားျခင့္မရွိပါ။</t>
  </si>
  <si>
    <t>တုိက္ရိုက္ဆက္သြယ္ေျပာဆိုေသာ္လဲမရပါ။</t>
  </si>
  <si>
    <t>BCE-RV-19090138 (5-Sep-19)~Bad Debt ($17052.27) Approved by CEO, MSL (5-Sep-19)</t>
  </si>
  <si>
    <t>CnC/DIS/2019/10/001 (Discount) Approved by CFD and Ma Naw ($315.49)</t>
  </si>
  <si>
    <t>HS-282/2017</t>
  </si>
  <si>
    <t xml:space="preserve">1 month after delivery ( $ 4500 ) </t>
  </si>
  <si>
    <t xml:space="preserve">2 month after delivery ( $ 4500 ) </t>
  </si>
  <si>
    <t>3 month after delivery ( $ 4500 )</t>
  </si>
  <si>
    <t>4 month after delivery ( $ 4500 )</t>
  </si>
  <si>
    <t>5 month after delivery ( $ 4500 )</t>
  </si>
  <si>
    <t xml:space="preserve">6 month after delivery ( $ 4500 ) </t>
  </si>
  <si>
    <t xml:space="preserve">7 month after delivery ( $ 4500 ) </t>
  </si>
  <si>
    <t xml:space="preserve">8 month after delivery ( $ 5690 ) </t>
  </si>
  <si>
    <t>Aggrement Contract (Principle $24190 + Fine $13000)</t>
  </si>
  <si>
    <t>ZAW MIN,U</t>
  </si>
  <si>
    <t>HS - 162/2020</t>
  </si>
  <si>
    <t>No interest / Without colleteral</t>
  </si>
  <si>
    <t>BCE-UNT-SI-20020003</t>
  </si>
  <si>
    <t>STW-BSO-UNT-2020-02-0001</t>
  </si>
  <si>
    <t>Machine Price- 55,000 USD, Dis - 5,000 USD  - Principal ($47,619.52) - HP ($2,380.98 )</t>
  </si>
  <si>
    <t>Upon on machine delivery time down payment 50% - $ 25,000 (06-Feb-2020 )</t>
  </si>
  <si>
    <t>BCE-RV-20010067, BCE-RV-20010068~HQT-RV-2020-01-0403 (29-Jan-2020)~RV - 14963 ($25000@1468 = KS 36,700,000)</t>
  </si>
  <si>
    <t>1 month after delivery - $ 4,167 ( 06-Mar-2020 )</t>
  </si>
  <si>
    <t>2 month after delivery - $ 4,167 ( 06-Apr-2020 )</t>
  </si>
  <si>
    <t>3 month after delivery - $ 4,167 ( 06-May-2020 )</t>
  </si>
  <si>
    <t>4 month after delivery - $ 4,167 ( 06-Jun-2020 )</t>
  </si>
  <si>
    <t>5 month after delivery - $ 4,167 ( 06-Jul-2020 )</t>
  </si>
  <si>
    <t>6 month after delivery - $ 4,165 ( 06-Aug-2020 )</t>
  </si>
  <si>
    <t xml:space="preserve">Matador Self Propelled Concrete Mixer MSPM3.5R / SN ; 190 830414 </t>
  </si>
  <si>
    <t>BCE-RV-20030017, BCE-RV-20030018(10-Mar-2020)~RV/STW/2020/03/32027 (10-Mar-2020) ($4167 rate 1371 = KS 5,713,000)</t>
  </si>
  <si>
    <t>BCE-RV-20040017, BCE-RV-20040018(8-Apr-2020)~RV/STW/2020/04/32090 (8-Apr-2020) ($4167 @1410 = KS 5,875,400)</t>
  </si>
  <si>
    <t>BCE-RV-20050012, BCE-RV-20050013(12-May-2020)~RV/STW/2020/05/47032 (12-May-2020) $4167@1405 = KS 5,854,600</t>
  </si>
  <si>
    <t>BCE-RV-20060013, BCE-RV-20060014(10-Jun-2020)~RV/STW/2020/06/28141 (9-Jun-2020) $4167 @1407 = KS 5,863,000</t>
  </si>
  <si>
    <t>BCE-RV-20070047, BCE-RV-20070048(17-Jul-2020)~RV/STW/2020/07/47046 (17-Jul-2020) ($4167 @1381 = KS 5,755,000)</t>
  </si>
  <si>
    <t>BCE-RV-20080028, BCE-RV-20080029(18-Aug-2020)~RV/STW/2020/08/47050 (17-Aug-2020) ($4165.50 rate 1375 = Ks 5,726,800/ Dis ks 762.5)</t>
  </si>
  <si>
    <t xml:space="preserve">Legal ပစ္ရႏ္ </t>
  </si>
  <si>
    <t>MD Approved မ က် ေသး</t>
  </si>
  <si>
    <t>Status</t>
  </si>
  <si>
    <t>Difficult Cusromer</t>
  </si>
  <si>
    <t>5% Fine for Calculation (30-JAN-20 to 30-JUL-23)</t>
  </si>
  <si>
    <t>5% Fine for Calculation (28-FEB-20 to 30-JUL-23)</t>
  </si>
  <si>
    <t>5% Fine for Calculation (30-MAR-20 to 30-JUL-23)</t>
  </si>
  <si>
    <t>5% Fine for Calculation (30-APR-20 to 30-JUL-23)</t>
  </si>
  <si>
    <t>5% Fine for Calculation (30-MAY-20 to 30-JUL-23)</t>
  </si>
  <si>
    <t>5% Fine for Calculation (30-JUN-20 to 30-JUL-23)</t>
  </si>
  <si>
    <t>5% Fine for Calculation (30-JUL-20 to 30-JUL-23)</t>
  </si>
  <si>
    <t>5% Fine for Calculation (30-AUG-20 to 30-JUL-23)</t>
  </si>
  <si>
    <t>Theint Theint Hmwe</t>
  </si>
  <si>
    <t xml:space="preserve">Finance </t>
  </si>
  <si>
    <t>Fast Point Co.,Ltd</t>
  </si>
  <si>
    <t>[SWE60E] SUNWARD MINI EXCAVATOR SWE60E</t>
  </si>
  <si>
    <t>BCE-RV-23100018, BCE-GR-23100057, Repossess machine hours Prin $37,190, Fine $71,382.5/-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</si>
</sst>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3" formatCode="_(* #,##0.00_);_(* \(#,##0.00\);_(* &quot;-&quot;??_);_(@_)"/>
    <numFmt numFmtId="164" formatCode="_(* #,##0_);_(* \(#,##0\);_(* \-??_);_(@_)"/>
    <numFmt numFmtId="165" formatCode="mmmm\ d&quot;, &quot;yyyy"/>
    <numFmt numFmtId="166" formatCode="0_);[Red]\(0\)"/>
    <numFmt numFmtId="167" formatCode="_(* #,##0.00_);_(* \(#,##0.00\);_(* \-??_);_(@_)"/>
    <numFmt numFmtId="168" formatCode="_(* #,##0_);_(* \(#,##0\);_(* &quot;-&quot;??_);_(@_)"/>
    <numFmt numFmtId="169" formatCode="[$-409]d\-mmm\-yy;@"/>
    <numFmt numFmtId="170" formatCode="#,##0.00_ "/>
    <numFmt numFmtId="171" formatCode="[$-409]d\-mmm\-yyyy;@"/>
    <numFmt numFmtId="172" formatCode="[$-409]d/mmm/yy;@"/>
  </numFmts>
  <fonts count="4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rgb="FF000000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9"/>
      <color theme="1"/>
      <name val="Times New Roman"/>
      <family val="1"/>
    </font>
    <font>
      <b/>
      <sz val="11"/>
      <color indexed="63"/>
      <name val="Calibri"/>
      <family val="2"/>
    </font>
    <font>
      <sz val="12"/>
      <name val="宋体"/>
      <charset val="134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theme="9" tint="-0.249977111117893"/>
      <name val="Tahoma"/>
      <family val="2"/>
    </font>
    <font>
      <sz val="10"/>
      <name val="Tahoma"/>
      <family val="2"/>
    </font>
    <font>
      <b/>
      <sz val="10"/>
      <name val="Tahoma"/>
      <family val="2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b/>
      <sz val="10"/>
      <color rgb="FFFF0000"/>
      <name val="Tahoma"/>
      <family val="2"/>
    </font>
    <font>
      <sz val="10"/>
      <color rgb="FFFF0000"/>
      <name val="Tahoma"/>
      <family val="2"/>
    </font>
    <font>
      <b/>
      <sz val="10"/>
      <color rgb="FF00B0F0"/>
      <name val="Tahoma"/>
      <family val="2"/>
    </font>
    <font>
      <b/>
      <sz val="10"/>
      <color rgb="FF00B050"/>
      <name val="Tahoma"/>
      <family val="2"/>
    </font>
    <font>
      <b/>
      <sz val="10"/>
      <color rgb="FF0070C0"/>
      <name val="Tahoma"/>
      <family val="2"/>
    </font>
    <font>
      <sz val="10"/>
      <color rgb="FF0070C0"/>
      <name val="Tahoma"/>
      <family val="2"/>
    </font>
    <font>
      <b/>
      <u/>
      <sz val="10"/>
      <color theme="1"/>
      <name val="Tahoma"/>
      <family val="2"/>
    </font>
    <font>
      <sz val="10"/>
      <color rgb="FFFF33CC"/>
      <name val="Tahoma"/>
      <family val="2"/>
    </font>
    <font>
      <u/>
      <sz val="10"/>
      <name val="Tahoma"/>
      <family val="2"/>
    </font>
    <font>
      <sz val="10"/>
      <color rgb="FF00B050"/>
      <name val="Tahoma"/>
      <family val="2"/>
    </font>
    <font>
      <b/>
      <sz val="10"/>
      <color theme="9" tint="-0.249977111117893"/>
      <name val="Tahoma"/>
      <family val="2"/>
    </font>
  </fonts>
  <fills count="2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42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07">
    <xf numFmtId="0" fontId="0" fillId="0" borderId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6" fillId="21" borderId="12" applyNumberFormat="0" applyAlignment="0" applyProtection="0"/>
    <xf numFmtId="0" fontId="6" fillId="21" borderId="12" applyNumberFormat="0" applyAlignment="0" applyProtection="0"/>
    <xf numFmtId="0" fontId="6" fillId="21" borderId="12" applyNumberFormat="0" applyAlignment="0" applyProtection="0"/>
    <xf numFmtId="0" fontId="6" fillId="21" borderId="12" applyNumberFormat="0" applyAlignment="0" applyProtection="0"/>
    <xf numFmtId="0" fontId="6" fillId="21" borderId="12" applyNumberFormat="0" applyAlignment="0" applyProtection="0"/>
    <xf numFmtId="0" fontId="7" fillId="22" borderId="13" applyNumberFormat="0" applyAlignment="0" applyProtection="0"/>
    <xf numFmtId="0" fontId="7" fillId="22" borderId="13" applyNumberFormat="0" applyAlignment="0" applyProtection="0"/>
    <xf numFmtId="0" fontId="7" fillId="22" borderId="13" applyNumberFormat="0" applyAlignment="0" applyProtection="0"/>
    <xf numFmtId="0" fontId="7" fillId="22" borderId="13" applyNumberFormat="0" applyAlignment="0" applyProtection="0"/>
    <xf numFmtId="0" fontId="7" fillId="22" borderId="13" applyNumberFormat="0" applyAlignment="0" applyProtection="0"/>
    <xf numFmtId="0" fontId="7" fillId="22" borderId="13" applyNumberFormat="0" applyAlignment="0" applyProtection="0"/>
    <xf numFmtId="0" fontId="7" fillId="22" borderId="13" applyNumberFormat="0" applyAlignment="0" applyProtection="0"/>
    <xf numFmtId="0" fontId="7" fillId="22" borderId="13" applyNumberFormat="0" applyAlignment="0" applyProtection="0"/>
    <xf numFmtId="0" fontId="7" fillId="22" borderId="13" applyNumberFormat="0" applyAlignment="0" applyProtection="0"/>
    <xf numFmtId="0" fontId="7" fillId="22" borderId="13" applyNumberFormat="0" applyAlignment="0" applyProtection="0"/>
    <xf numFmtId="0" fontId="7" fillId="22" borderId="13" applyNumberFormat="0" applyAlignment="0" applyProtection="0"/>
    <xf numFmtId="0" fontId="7" fillId="22" borderId="13" applyNumberFormat="0" applyAlignment="0" applyProtection="0"/>
    <xf numFmtId="0" fontId="7" fillId="22" borderId="13" applyNumberFormat="0" applyAlignment="0" applyProtection="0"/>
    <xf numFmtId="0" fontId="7" fillId="22" borderId="13" applyNumberFormat="0" applyAlignment="0" applyProtection="0"/>
    <xf numFmtId="0" fontId="7" fillId="22" borderId="13" applyNumberFormat="0" applyAlignment="0" applyProtection="0"/>
    <xf numFmtId="0" fontId="7" fillId="22" borderId="13" applyNumberFormat="0" applyAlignment="0" applyProtection="0"/>
    <xf numFmtId="0" fontId="7" fillId="22" borderId="13" applyNumberFormat="0" applyAlignment="0" applyProtection="0"/>
    <xf numFmtId="0" fontId="7" fillId="22" borderId="13" applyNumberFormat="0" applyAlignment="0" applyProtection="0"/>
    <xf numFmtId="0" fontId="7" fillId="22" borderId="13" applyNumberFormat="0" applyAlignment="0" applyProtection="0"/>
    <xf numFmtId="0" fontId="7" fillId="22" borderId="13" applyNumberFormat="0" applyAlignment="0" applyProtection="0"/>
    <xf numFmtId="0" fontId="7" fillId="22" borderId="13" applyNumberFormat="0" applyAlignment="0" applyProtection="0"/>
    <xf numFmtId="0" fontId="7" fillId="22" borderId="13" applyNumberFormat="0" applyAlignment="0" applyProtection="0"/>
    <xf numFmtId="0" fontId="7" fillId="22" borderId="13" applyNumberFormat="0" applyAlignment="0" applyProtection="0"/>
    <xf numFmtId="0" fontId="7" fillId="22" borderId="13" applyNumberFormat="0" applyAlignment="0" applyProtection="0"/>
    <xf numFmtId="0" fontId="7" fillId="22" borderId="13" applyNumberFormat="0" applyAlignment="0" applyProtection="0"/>
    <xf numFmtId="0" fontId="7" fillId="22" borderId="13" applyNumberFormat="0" applyAlignment="0" applyProtection="0"/>
    <xf numFmtId="0" fontId="7" fillId="22" borderId="13" applyNumberFormat="0" applyAlignment="0" applyProtection="0"/>
    <xf numFmtId="0" fontId="7" fillId="22" borderId="13" applyNumberFormat="0" applyAlignment="0" applyProtection="0"/>
    <xf numFmtId="0" fontId="7" fillId="22" borderId="13" applyNumberFormat="0" applyAlignment="0" applyProtection="0"/>
    <xf numFmtId="0" fontId="7" fillId="22" borderId="13" applyNumberFormat="0" applyAlignment="0" applyProtection="0"/>
    <xf numFmtId="0" fontId="7" fillId="22" borderId="13" applyNumberFormat="0" applyAlignment="0" applyProtection="0"/>
    <xf numFmtId="0" fontId="7" fillId="22" borderId="13" applyNumberFormat="0" applyAlignment="0" applyProtection="0"/>
    <xf numFmtId="0" fontId="7" fillId="22" borderId="13" applyNumberFormat="0" applyAlignment="0" applyProtection="0"/>
    <xf numFmtId="0" fontId="7" fillId="22" borderId="13" applyNumberFormat="0" applyAlignment="0" applyProtection="0"/>
    <xf numFmtId="0" fontId="7" fillId="22" borderId="13" applyNumberFormat="0" applyAlignment="0" applyProtection="0"/>
    <xf numFmtId="0" fontId="7" fillId="22" borderId="13" applyNumberFormat="0" applyAlignment="0" applyProtection="0"/>
    <xf numFmtId="0" fontId="7" fillId="22" borderId="13" applyNumberFormat="0" applyAlignment="0" applyProtection="0"/>
    <xf numFmtId="0" fontId="7" fillId="22" borderId="13" applyNumberFormat="0" applyAlignment="0" applyProtection="0"/>
    <xf numFmtId="0" fontId="7" fillId="22" borderId="13" applyNumberFormat="0" applyAlignment="0" applyProtection="0"/>
    <xf numFmtId="0" fontId="7" fillId="22" borderId="13" applyNumberFormat="0" applyAlignment="0" applyProtection="0"/>
    <xf numFmtId="0" fontId="7" fillId="22" borderId="13" applyNumberFormat="0" applyAlignment="0" applyProtection="0"/>
    <xf numFmtId="0" fontId="7" fillId="22" borderId="13" applyNumberFormat="0" applyAlignment="0" applyProtection="0"/>
    <xf numFmtId="0" fontId="7" fillId="22" borderId="13" applyNumberFormat="0" applyAlignment="0" applyProtection="0"/>
    <xf numFmtId="0" fontId="7" fillId="22" borderId="13" applyNumberFormat="0" applyAlignment="0" applyProtection="0"/>
    <xf numFmtId="0" fontId="7" fillId="22" borderId="13" applyNumberFormat="0" applyAlignment="0" applyProtection="0"/>
    <xf numFmtId="0" fontId="7" fillId="22" borderId="13" applyNumberFormat="0" applyAlignment="0" applyProtection="0"/>
    <xf numFmtId="0" fontId="7" fillId="22" borderId="13" applyNumberFormat="0" applyAlignment="0" applyProtection="0"/>
    <xf numFmtId="0" fontId="7" fillId="22" borderId="13" applyNumberFormat="0" applyAlignment="0" applyProtection="0"/>
    <xf numFmtId="0" fontId="7" fillId="22" borderId="13" applyNumberFormat="0" applyAlignment="0" applyProtection="0"/>
    <xf numFmtId="0" fontId="7" fillId="22" borderId="13" applyNumberFormat="0" applyAlignment="0" applyProtection="0"/>
    <xf numFmtId="0" fontId="7" fillId="22" borderId="13" applyNumberFormat="0" applyAlignment="0" applyProtection="0"/>
    <xf numFmtId="0" fontId="7" fillId="22" borderId="13" applyNumberFormat="0" applyAlignment="0" applyProtection="0"/>
    <xf numFmtId="0" fontId="7" fillId="22" borderId="13" applyNumberFormat="0" applyAlignment="0" applyProtection="0"/>
    <xf numFmtId="0" fontId="7" fillId="22" borderId="13" applyNumberFormat="0" applyAlignment="0" applyProtection="0"/>
    <xf numFmtId="0" fontId="7" fillId="22" borderId="13" applyNumberFormat="0" applyAlignment="0" applyProtection="0"/>
    <xf numFmtId="0" fontId="7" fillId="22" borderId="13" applyNumberFormat="0" applyAlignment="0" applyProtection="0"/>
    <xf numFmtId="0" fontId="7" fillId="22" borderId="13" applyNumberFormat="0" applyAlignment="0" applyProtection="0"/>
    <xf numFmtId="0" fontId="7" fillId="22" borderId="13" applyNumberFormat="0" applyAlignment="0" applyProtection="0"/>
    <xf numFmtId="0" fontId="7" fillId="22" borderId="13" applyNumberFormat="0" applyAlignment="0" applyProtection="0"/>
    <xf numFmtId="0" fontId="7" fillId="22" borderId="13" applyNumberFormat="0" applyAlignment="0" applyProtection="0"/>
    <xf numFmtId="0" fontId="7" fillId="22" borderId="13" applyNumberFormat="0" applyAlignment="0" applyProtection="0"/>
    <xf numFmtId="0" fontId="7" fillId="22" borderId="13" applyNumberFormat="0" applyAlignment="0" applyProtection="0"/>
    <xf numFmtId="0" fontId="7" fillId="22" borderId="13" applyNumberFormat="0" applyAlignment="0" applyProtection="0"/>
    <xf numFmtId="0" fontId="7" fillId="22" borderId="13" applyNumberFormat="0" applyAlignment="0" applyProtection="0"/>
    <xf numFmtId="0" fontId="7" fillId="22" borderId="13" applyNumberFormat="0" applyAlignment="0" applyProtection="0"/>
    <xf numFmtId="0" fontId="7" fillId="22" borderId="13" applyNumberFormat="0" applyAlignment="0" applyProtection="0"/>
    <xf numFmtId="0" fontId="7" fillId="22" borderId="13" applyNumberFormat="0" applyAlignment="0" applyProtection="0"/>
    <xf numFmtId="0" fontId="7" fillId="22" borderId="13" applyNumberFormat="0" applyAlignment="0" applyProtection="0"/>
    <xf numFmtId="0" fontId="7" fillId="22" borderId="13" applyNumberFormat="0" applyAlignment="0" applyProtection="0"/>
    <xf numFmtId="0" fontId="7" fillId="22" borderId="13" applyNumberFormat="0" applyAlignment="0" applyProtection="0"/>
    <xf numFmtId="0" fontId="7" fillId="22" borderId="13" applyNumberFormat="0" applyAlignment="0" applyProtection="0"/>
    <xf numFmtId="0" fontId="7" fillId="22" borderId="13" applyNumberFormat="0" applyAlignment="0" applyProtection="0"/>
    <xf numFmtId="0" fontId="7" fillId="22" borderId="13" applyNumberFormat="0" applyAlignment="0" applyProtection="0"/>
    <xf numFmtId="0" fontId="7" fillId="22" borderId="13" applyNumberFormat="0" applyAlignment="0" applyProtection="0"/>
    <xf numFmtId="0" fontId="7" fillId="22" borderId="13" applyNumberFormat="0" applyAlignment="0" applyProtection="0"/>
    <xf numFmtId="0" fontId="7" fillId="22" borderId="13" applyNumberFormat="0" applyAlignment="0" applyProtection="0"/>
    <xf numFmtId="0" fontId="7" fillId="22" borderId="13" applyNumberFormat="0" applyAlignment="0" applyProtection="0"/>
    <xf numFmtId="0" fontId="7" fillId="22" borderId="13" applyNumberFormat="0" applyAlignment="0" applyProtection="0"/>
    <xf numFmtId="0" fontId="7" fillId="22" borderId="13" applyNumberFormat="0" applyAlignment="0" applyProtection="0"/>
    <xf numFmtId="0" fontId="7" fillId="22" borderId="13" applyNumberForma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1" fillId="0" borderId="14" applyNumberFormat="0" applyFill="0" applyAlignment="0" applyProtection="0"/>
    <xf numFmtId="0" fontId="11" fillId="0" borderId="14" applyNumberFormat="0" applyFill="0" applyAlignment="0" applyProtection="0"/>
    <xf numFmtId="0" fontId="11" fillId="0" borderId="14" applyNumberFormat="0" applyFill="0" applyAlignment="0" applyProtection="0"/>
    <xf numFmtId="0" fontId="11" fillId="0" borderId="14" applyNumberFormat="0" applyFill="0" applyAlignment="0" applyProtection="0"/>
    <xf numFmtId="0" fontId="11" fillId="0" borderId="14" applyNumberFormat="0" applyFill="0" applyAlignment="0" applyProtection="0"/>
    <xf numFmtId="0" fontId="12" fillId="0" borderId="15" applyNumberFormat="0" applyFill="0" applyAlignment="0" applyProtection="0"/>
    <xf numFmtId="0" fontId="12" fillId="0" borderId="15" applyNumberFormat="0" applyFill="0" applyAlignment="0" applyProtection="0"/>
    <xf numFmtId="0" fontId="12" fillId="0" borderId="15" applyNumberFormat="0" applyFill="0" applyAlignment="0" applyProtection="0"/>
    <xf numFmtId="0" fontId="12" fillId="0" borderId="15" applyNumberFormat="0" applyFill="0" applyAlignment="0" applyProtection="0"/>
    <xf numFmtId="0" fontId="12" fillId="0" borderId="15" applyNumberFormat="0" applyFill="0" applyAlignment="0" applyProtection="0"/>
    <xf numFmtId="0" fontId="13" fillId="0" borderId="16" applyNumberFormat="0" applyFill="0" applyAlignment="0" applyProtection="0"/>
    <xf numFmtId="0" fontId="13" fillId="0" borderId="16" applyNumberFormat="0" applyFill="0" applyAlignment="0" applyProtection="0"/>
    <xf numFmtId="0" fontId="13" fillId="0" borderId="16" applyNumberFormat="0" applyFill="0" applyAlignment="0" applyProtection="0"/>
    <xf numFmtId="0" fontId="13" fillId="0" borderId="16" applyNumberFormat="0" applyFill="0" applyAlignment="0" applyProtection="0"/>
    <xf numFmtId="0" fontId="13" fillId="0" borderId="16" applyNumberFormat="0" applyFill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8" borderId="12" applyNumberFormat="0" applyAlignment="0" applyProtection="0"/>
    <xf numFmtId="0" fontId="14" fillId="8" borderId="12" applyNumberFormat="0" applyAlignment="0" applyProtection="0"/>
    <xf numFmtId="0" fontId="14" fillId="8" borderId="12" applyNumberFormat="0" applyAlignment="0" applyProtection="0"/>
    <xf numFmtId="0" fontId="14" fillId="8" borderId="12" applyNumberFormat="0" applyAlignment="0" applyProtection="0"/>
    <xf numFmtId="0" fontId="14" fillId="8" borderId="12" applyNumberFormat="0" applyAlignment="0" applyProtection="0"/>
    <xf numFmtId="0" fontId="15" fillId="0" borderId="17" applyNumberFormat="0" applyFill="0" applyAlignment="0" applyProtection="0"/>
    <xf numFmtId="0" fontId="15" fillId="0" borderId="17" applyNumberFormat="0" applyFill="0" applyAlignment="0" applyProtection="0"/>
    <xf numFmtId="0" fontId="15" fillId="0" borderId="17" applyNumberFormat="0" applyFill="0" applyAlignment="0" applyProtection="0"/>
    <xf numFmtId="0" fontId="15" fillId="0" borderId="17" applyNumberFormat="0" applyFill="0" applyAlignment="0" applyProtection="0"/>
    <xf numFmtId="0" fontId="15" fillId="0" borderId="17" applyNumberFormat="0" applyFill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24" borderId="18" applyNumberFormat="0" applyFont="0" applyAlignment="0" applyProtection="0"/>
    <xf numFmtId="0" fontId="2" fillId="24" borderId="18" applyNumberFormat="0" applyFont="0" applyAlignment="0" applyProtection="0"/>
    <xf numFmtId="0" fontId="2" fillId="24" borderId="18" applyNumberFormat="0" applyFont="0" applyAlignment="0" applyProtection="0"/>
    <xf numFmtId="0" fontId="2" fillId="24" borderId="18" applyNumberFormat="0" applyFont="0" applyAlignment="0" applyProtection="0"/>
    <xf numFmtId="0" fontId="2" fillId="24" borderId="18" applyNumberFormat="0" applyFont="0" applyAlignment="0" applyProtection="0"/>
    <xf numFmtId="0" fontId="18" fillId="21" borderId="19" applyNumberFormat="0" applyAlignment="0" applyProtection="0"/>
    <xf numFmtId="0" fontId="18" fillId="21" borderId="19" applyNumberFormat="0" applyAlignment="0" applyProtection="0"/>
    <xf numFmtId="0" fontId="18" fillId="21" borderId="19" applyNumberFormat="0" applyAlignment="0" applyProtection="0"/>
    <xf numFmtId="0" fontId="18" fillId="21" borderId="19" applyNumberFormat="0" applyAlignment="0" applyProtection="0"/>
    <xf numFmtId="0" fontId="18" fillId="21" borderId="19" applyNumberFormat="0" applyAlignment="0" applyProtection="0"/>
    <xf numFmtId="0" fontId="19" fillId="0" borderId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20" applyNumberFormat="0" applyFill="0" applyAlignment="0" applyProtection="0"/>
    <xf numFmtId="0" fontId="21" fillId="0" borderId="20" applyNumberFormat="0" applyFill="0" applyAlignment="0" applyProtection="0"/>
    <xf numFmtId="0" fontId="21" fillId="0" borderId="20" applyNumberFormat="0" applyFill="0" applyAlignment="0" applyProtection="0"/>
    <xf numFmtId="0" fontId="21" fillId="0" borderId="20" applyNumberFormat="0" applyFill="0" applyAlignment="0" applyProtection="0"/>
    <xf numFmtId="0" fontId="21" fillId="0" borderId="20" applyNumberFormat="0" applyFill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</cellStyleXfs>
  <cellXfs count="443">
    <xf numFmtId="0" fontId="0" fillId="0" borderId="0" xfId="0"/>
    <xf numFmtId="0" fontId="25" fillId="0" borderId="0" xfId="0" applyFont="1" applyAlignment="1"/>
    <xf numFmtId="0" fontId="26" fillId="0" borderId="0" xfId="0" applyFont="1" applyFill="1"/>
    <xf numFmtId="0" fontId="26" fillId="0" borderId="0" xfId="0" applyFont="1"/>
    <xf numFmtId="0" fontId="26" fillId="0" borderId="0" xfId="0" applyFont="1" applyAlignment="1">
      <alignment horizontal="left"/>
    </xf>
    <xf numFmtId="164" fontId="26" fillId="0" borderId="0" xfId="1" applyNumberFormat="1" applyFont="1" applyFill="1"/>
    <xf numFmtId="0" fontId="26" fillId="0" borderId="0" xfId="0" applyFont="1" applyProtection="1"/>
    <xf numFmtId="0" fontId="26" fillId="0" borderId="0" xfId="0" applyFont="1" applyAlignment="1" applyProtection="1">
      <alignment horizontal="left"/>
    </xf>
    <xf numFmtId="164" fontId="26" fillId="0" borderId="0" xfId="1" applyNumberFormat="1" applyFont="1" applyFill="1" applyProtection="1"/>
    <xf numFmtId="165" fontId="26" fillId="0" borderId="0" xfId="0" applyNumberFormat="1" applyFont="1" applyFill="1" applyAlignment="1">
      <alignment horizontal="center"/>
    </xf>
    <xf numFmtId="166" fontId="26" fillId="0" borderId="0" xfId="0" applyNumberFormat="1" applyFont="1" applyFill="1" applyProtection="1"/>
    <xf numFmtId="0" fontId="27" fillId="0" borderId="0" xfId="0" applyFont="1" applyFill="1" applyBorder="1" applyAlignment="1">
      <alignment horizontal="center"/>
    </xf>
    <xf numFmtId="0" fontId="27" fillId="0" borderId="0" xfId="0" applyFont="1" applyAlignment="1" applyProtection="1">
      <alignment horizontal="left"/>
    </xf>
    <xf numFmtId="0" fontId="26" fillId="0" borderId="0" xfId="0" applyFont="1" applyFill="1" applyBorder="1"/>
    <xf numFmtId="167" fontId="26" fillId="0" borderId="0" xfId="0" applyNumberFormat="1" applyFont="1" applyBorder="1" applyAlignment="1" applyProtection="1">
      <alignment horizontal="right"/>
      <protection hidden="1"/>
    </xf>
    <xf numFmtId="0" fontId="26" fillId="0" borderId="0" xfId="0" applyFont="1" applyFill="1" applyAlignment="1" applyProtection="1">
      <alignment horizontal="left"/>
      <protection hidden="1"/>
    </xf>
    <xf numFmtId="0" fontId="28" fillId="0" borderId="0" xfId="0" applyFont="1" applyFill="1" applyBorder="1" applyAlignment="1"/>
    <xf numFmtId="0" fontId="29" fillId="0" borderId="0" xfId="0" applyFont="1" applyFill="1" applyBorder="1"/>
    <xf numFmtId="0" fontId="26" fillId="0" borderId="0" xfId="0" applyFont="1" applyAlignment="1" applyProtection="1">
      <alignment horizontal="left"/>
      <protection hidden="1"/>
    </xf>
    <xf numFmtId="0" fontId="26" fillId="0" borderId="1" xfId="0" applyFont="1" applyFill="1" applyBorder="1" applyAlignment="1">
      <alignment horizontal="left"/>
    </xf>
    <xf numFmtId="167" fontId="26" fillId="0" borderId="1" xfId="0" applyNumberFormat="1" applyFont="1" applyBorder="1" applyAlignment="1" applyProtection="1">
      <alignment horizontal="left"/>
      <protection hidden="1"/>
    </xf>
    <xf numFmtId="9" fontId="26" fillId="0" borderId="0" xfId="0" applyNumberFormat="1" applyFont="1" applyFill="1" applyAlignment="1" applyProtection="1">
      <alignment horizontal="left"/>
      <protection hidden="1"/>
    </xf>
    <xf numFmtId="0" fontId="30" fillId="0" borderId="0" xfId="0" applyFont="1"/>
    <xf numFmtId="167" fontId="30" fillId="0" borderId="0" xfId="0" applyNumberFormat="1" applyFont="1" applyBorder="1" applyProtection="1">
      <protection hidden="1"/>
    </xf>
    <xf numFmtId="0" fontId="31" fillId="0" borderId="0" xfId="0" applyFont="1" applyFill="1" applyAlignment="1">
      <alignment horizontal="right"/>
    </xf>
    <xf numFmtId="0" fontId="31" fillId="0" borderId="0" xfId="0" applyFont="1" applyFill="1"/>
    <xf numFmtId="0" fontId="29" fillId="0" borderId="0" xfId="0" applyFont="1" applyBorder="1"/>
    <xf numFmtId="0" fontId="32" fillId="0" borderId="0" xfId="0" applyFont="1"/>
    <xf numFmtId="167" fontId="32" fillId="0" borderId="0" xfId="0" applyNumberFormat="1" applyFont="1" applyBorder="1" applyProtection="1">
      <protection hidden="1"/>
    </xf>
    <xf numFmtId="0" fontId="30" fillId="0" borderId="0" xfId="0" applyFont="1" applyFill="1" applyBorder="1"/>
    <xf numFmtId="167" fontId="30" fillId="0" borderId="0" xfId="0" applyNumberFormat="1" applyFont="1"/>
    <xf numFmtId="0" fontId="31" fillId="0" borderId="29" xfId="0" applyFont="1" applyFill="1" applyBorder="1"/>
    <xf numFmtId="0" fontId="31" fillId="2" borderId="29" xfId="0" applyFont="1" applyFill="1" applyBorder="1"/>
    <xf numFmtId="164" fontId="27" fillId="0" borderId="0" xfId="1" applyNumberFormat="1" applyFont="1" applyFill="1" applyBorder="1" applyAlignment="1" applyProtection="1">
      <protection hidden="1"/>
    </xf>
    <xf numFmtId="164" fontId="26" fillId="0" borderId="0" xfId="1" applyNumberFormat="1" applyFont="1" applyFill="1" applyProtection="1">
      <protection hidden="1"/>
    </xf>
    <xf numFmtId="0" fontId="26" fillId="0" borderId="0" xfId="0" applyFont="1" applyFill="1" applyProtection="1">
      <protection hidden="1"/>
    </xf>
    <xf numFmtId="164" fontId="26" fillId="0" borderId="0" xfId="1" applyNumberFormat="1" applyFont="1" applyFill="1" applyBorder="1" applyAlignment="1" applyProtection="1">
      <protection hidden="1"/>
    </xf>
    <xf numFmtId="0" fontId="26" fillId="0" borderId="0" xfId="0" applyFont="1" applyBorder="1"/>
    <xf numFmtId="0" fontId="28" fillId="0" borderId="10" xfId="0" applyFont="1" applyBorder="1"/>
    <xf numFmtId="0" fontId="27" fillId="0" borderId="10" xfId="0" applyFont="1" applyBorder="1"/>
    <xf numFmtId="164" fontId="26" fillId="0" borderId="11" xfId="1" applyNumberFormat="1" applyFont="1" applyFill="1" applyBorder="1" applyProtection="1">
      <protection hidden="1"/>
    </xf>
    <xf numFmtId="43" fontId="29" fillId="0" borderId="10" xfId="1" applyFont="1" applyBorder="1"/>
    <xf numFmtId="0" fontId="27" fillId="0" borderId="11" xfId="0" applyFont="1" applyFill="1" applyBorder="1" applyProtection="1">
      <protection hidden="1"/>
    </xf>
    <xf numFmtId="167" fontId="26" fillId="0" borderId="11" xfId="0" applyNumberFormat="1" applyFont="1" applyBorder="1" applyProtection="1">
      <protection hidden="1"/>
    </xf>
    <xf numFmtId="0" fontId="26" fillId="0" borderId="23" xfId="0" applyFont="1" applyFill="1" applyBorder="1" applyAlignment="1">
      <alignment vertical="center"/>
    </xf>
    <xf numFmtId="0" fontId="26" fillId="0" borderId="10" xfId="0" applyFont="1" applyBorder="1"/>
    <xf numFmtId="43" fontId="26" fillId="0" borderId="11" xfId="1" applyFont="1" applyFill="1" applyBorder="1" applyProtection="1">
      <protection hidden="1"/>
    </xf>
    <xf numFmtId="167" fontId="26" fillId="0" borderId="10" xfId="0" applyNumberFormat="1" applyFont="1" applyFill="1" applyBorder="1" applyProtection="1">
      <protection hidden="1"/>
    </xf>
    <xf numFmtId="0" fontId="26" fillId="0" borderId="10" xfId="0" applyFont="1" applyFill="1" applyBorder="1" applyProtection="1">
      <protection hidden="1"/>
    </xf>
    <xf numFmtId="167" fontId="26" fillId="0" borderId="10" xfId="0" applyNumberFormat="1" applyFont="1" applyBorder="1" applyProtection="1">
      <protection hidden="1"/>
    </xf>
    <xf numFmtId="15" fontId="33" fillId="0" borderId="11" xfId="0" applyNumberFormat="1" applyFont="1" applyBorder="1" applyAlignment="1" applyProtection="1">
      <alignment horizontal="left"/>
      <protection hidden="1"/>
    </xf>
    <xf numFmtId="0" fontId="33" fillId="0" borderId="34" xfId="0" applyFont="1" applyBorder="1"/>
    <xf numFmtId="164" fontId="26" fillId="0" borderId="10" xfId="1" applyNumberFormat="1" applyFont="1" applyFill="1" applyBorder="1" applyProtection="1">
      <protection hidden="1"/>
    </xf>
    <xf numFmtId="167" fontId="26" fillId="0" borderId="34" xfId="0" applyNumberFormat="1" applyFont="1" applyFill="1" applyBorder="1" applyProtection="1">
      <protection hidden="1"/>
    </xf>
    <xf numFmtId="43" fontId="33" fillId="0" borderId="10" xfId="1" applyFont="1" applyFill="1" applyBorder="1" applyProtection="1">
      <protection hidden="1"/>
    </xf>
    <xf numFmtId="15" fontId="26" fillId="0" borderId="11" xfId="0" applyNumberFormat="1" applyFont="1" applyFill="1" applyBorder="1" applyAlignment="1" applyProtection="1">
      <alignment horizontal="left"/>
      <protection hidden="1"/>
    </xf>
    <xf numFmtId="0" fontId="26" fillId="0" borderId="10" xfId="0" applyFont="1" applyFill="1" applyBorder="1"/>
    <xf numFmtId="43" fontId="29" fillId="0" borderId="10" xfId="1" applyFont="1" applyFill="1" applyBorder="1"/>
    <xf numFmtId="168" fontId="33" fillId="0" borderId="10" xfId="1" applyNumberFormat="1" applyFont="1" applyFill="1" applyBorder="1" applyProtection="1">
      <protection hidden="1"/>
    </xf>
    <xf numFmtId="15" fontId="33" fillId="0" borderId="11" xfId="0" applyNumberFormat="1" applyFont="1" applyFill="1" applyBorder="1" applyAlignment="1" applyProtection="1">
      <alignment horizontal="left"/>
      <protection hidden="1"/>
    </xf>
    <xf numFmtId="0" fontId="33" fillId="0" borderId="10" xfId="0" applyFont="1" applyFill="1" applyBorder="1"/>
    <xf numFmtId="15" fontId="34" fillId="0" borderId="11" xfId="0" applyNumberFormat="1" applyFont="1" applyFill="1" applyBorder="1" applyAlignment="1" applyProtection="1">
      <alignment horizontal="left"/>
      <protection hidden="1"/>
    </xf>
    <xf numFmtId="0" fontId="34" fillId="0" borderId="11" xfId="0" applyFont="1" applyFill="1" applyBorder="1" applyAlignment="1" applyProtection="1">
      <alignment horizontal="left"/>
    </xf>
    <xf numFmtId="167" fontId="34" fillId="0" borderId="34" xfId="0" applyNumberFormat="1" applyFont="1" applyFill="1" applyBorder="1" applyProtection="1">
      <protection hidden="1"/>
    </xf>
    <xf numFmtId="15" fontId="33" fillId="0" borderId="11" xfId="0" applyNumberFormat="1" applyFont="1" applyFill="1" applyBorder="1" applyAlignment="1" applyProtection="1">
      <alignment horizontal="left" vertical="top"/>
      <protection hidden="1"/>
    </xf>
    <xf numFmtId="0" fontId="33" fillId="0" borderId="11" xfId="0" applyFont="1" applyFill="1" applyBorder="1" applyAlignment="1" applyProtection="1">
      <alignment horizontal="left" wrapText="1"/>
    </xf>
    <xf numFmtId="43" fontId="33" fillId="0" borderId="10" xfId="1" applyFont="1" applyFill="1" applyBorder="1"/>
    <xf numFmtId="167" fontId="33" fillId="0" borderId="34" xfId="0" applyNumberFormat="1" applyFont="1" applyFill="1" applyBorder="1" applyProtection="1">
      <protection hidden="1"/>
    </xf>
    <xf numFmtId="43" fontId="26" fillId="0" borderId="0" xfId="0" applyNumberFormat="1" applyFont="1"/>
    <xf numFmtId="15" fontId="26" fillId="0" borderId="11" xfId="0" applyNumberFormat="1" applyFont="1" applyBorder="1" applyAlignment="1" applyProtection="1">
      <alignment horizontal="left"/>
      <protection hidden="1"/>
    </xf>
    <xf numFmtId="15" fontId="35" fillId="0" borderId="11" xfId="0" applyNumberFormat="1" applyFont="1" applyBorder="1" applyAlignment="1" applyProtection="1">
      <alignment horizontal="left"/>
      <protection hidden="1"/>
    </xf>
    <xf numFmtId="43" fontId="35" fillId="0" borderId="10" xfId="1" applyFont="1" applyFill="1" applyBorder="1"/>
    <xf numFmtId="0" fontId="33" fillId="0" borderId="11" xfId="0" applyFont="1" applyFill="1" applyBorder="1" applyAlignment="1" applyProtection="1">
      <alignment horizontal="left"/>
    </xf>
    <xf numFmtId="15" fontId="35" fillId="0" borderId="11" xfId="0" applyNumberFormat="1" applyFont="1" applyFill="1" applyBorder="1" applyAlignment="1" applyProtection="1">
      <alignment horizontal="left"/>
      <protection hidden="1"/>
    </xf>
    <xf numFmtId="0" fontId="33" fillId="0" borderId="34" xfId="0" applyFont="1" applyFill="1" applyBorder="1"/>
    <xf numFmtId="43" fontId="26" fillId="0" borderId="0" xfId="0" applyNumberFormat="1" applyFont="1" applyFill="1"/>
    <xf numFmtId="43" fontId="26" fillId="0" borderId="10" xfId="1" applyFont="1" applyFill="1" applyBorder="1"/>
    <xf numFmtId="43" fontId="26" fillId="0" borderId="0" xfId="1" applyFont="1"/>
    <xf numFmtId="0" fontId="29" fillId="0" borderId="10" xfId="0" applyFont="1" applyBorder="1"/>
    <xf numFmtId="167" fontId="32" fillId="0" borderId="34" xfId="0" applyNumberFormat="1" applyFont="1" applyFill="1" applyBorder="1" applyProtection="1">
      <protection hidden="1"/>
    </xf>
    <xf numFmtId="0" fontId="29" fillId="0" borderId="10" xfId="0" applyFont="1" applyFill="1" applyBorder="1"/>
    <xf numFmtId="43" fontId="27" fillId="0" borderId="0" xfId="0" applyNumberFormat="1" applyFont="1"/>
    <xf numFmtId="43" fontId="31" fillId="0" borderId="10" xfId="1" applyFont="1" applyFill="1" applyBorder="1"/>
    <xf numFmtId="167" fontId="35" fillId="0" borderId="34" xfId="0" applyNumberFormat="1" applyFont="1" applyFill="1" applyBorder="1" applyProtection="1">
      <protection hidden="1"/>
    </xf>
    <xf numFmtId="0" fontId="27" fillId="0" borderId="0" xfId="0" applyFont="1"/>
    <xf numFmtId="15" fontId="35" fillId="0" borderId="35" xfId="0" applyNumberFormat="1" applyFont="1" applyBorder="1" applyAlignment="1" applyProtection="1">
      <alignment horizontal="left"/>
      <protection hidden="1"/>
    </xf>
    <xf numFmtId="0" fontId="34" fillId="0" borderId="10" xfId="0" applyFont="1" applyFill="1" applyBorder="1" applyAlignment="1" applyProtection="1">
      <alignment horizontal="left"/>
    </xf>
    <xf numFmtId="164" fontId="26" fillId="0" borderId="10" xfId="1" applyNumberFormat="1" applyFont="1" applyFill="1" applyBorder="1"/>
    <xf numFmtId="170" fontId="33" fillId="0" borderId="10" xfId="0" applyNumberFormat="1" applyFont="1" applyFill="1" applyBorder="1" applyProtection="1">
      <protection hidden="1"/>
    </xf>
    <xf numFmtId="43" fontId="27" fillId="0" borderId="26" xfId="1" applyFont="1" applyFill="1" applyBorder="1" applyAlignment="1" applyProtection="1">
      <protection hidden="1"/>
    </xf>
    <xf numFmtId="167" fontId="27" fillId="0" borderId="26" xfId="1" applyNumberFormat="1" applyFont="1" applyFill="1" applyBorder="1" applyAlignment="1" applyProtection="1">
      <protection hidden="1"/>
    </xf>
    <xf numFmtId="0" fontId="26" fillId="2" borderId="0" xfId="0" applyFont="1" applyFill="1" applyAlignment="1">
      <alignment horizontal="left"/>
    </xf>
    <xf numFmtId="164" fontId="26" fillId="2" borderId="0" xfId="1" applyNumberFormat="1" applyFont="1" applyFill="1"/>
    <xf numFmtId="0" fontId="26" fillId="2" borderId="0" xfId="0" applyFont="1" applyFill="1"/>
    <xf numFmtId="0" fontId="26" fillId="0" borderId="0" xfId="0" applyFont="1" applyBorder="1" applyAlignment="1">
      <alignment horizontal="left"/>
    </xf>
    <xf numFmtId="164" fontId="26" fillId="0" borderId="0" xfId="1" applyNumberFormat="1" applyFont="1" applyFill="1" applyBorder="1"/>
    <xf numFmtId="0" fontId="28" fillId="0" borderId="0" xfId="0" applyFont="1" applyBorder="1"/>
    <xf numFmtId="0" fontId="29" fillId="0" borderId="0" xfId="0" applyFont="1"/>
    <xf numFmtId="0" fontId="27" fillId="0" borderId="0" xfId="0" applyFont="1" applyFill="1" applyBorder="1" applyAlignment="1">
      <alignment horizontal="left" vertical="center"/>
    </xf>
    <xf numFmtId="0" fontId="26" fillId="0" borderId="0" xfId="0" applyFont="1" applyFill="1" applyBorder="1" applyAlignment="1">
      <alignment horizontal="left" vertical="center"/>
    </xf>
    <xf numFmtId="0" fontId="28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wrapText="1"/>
    </xf>
    <xf numFmtId="0" fontId="28" fillId="0" borderId="0" xfId="0" applyFont="1" applyBorder="1" applyAlignment="1">
      <alignment horizontal="center"/>
    </xf>
    <xf numFmtId="15" fontId="26" fillId="0" borderId="0" xfId="0" applyNumberFormat="1" applyFont="1" applyFill="1" applyBorder="1" applyAlignment="1">
      <alignment vertical="center"/>
    </xf>
    <xf numFmtId="0" fontId="26" fillId="0" borderId="0" xfId="0" applyFont="1" applyFill="1" applyBorder="1" applyAlignment="1">
      <alignment vertical="center"/>
    </xf>
    <xf numFmtId="168" fontId="26" fillId="0" borderId="0" xfId="2" applyNumberFormat="1" applyFont="1" applyFill="1" applyBorder="1" applyAlignment="1">
      <alignment horizontal="center" vertical="center"/>
    </xf>
    <xf numFmtId="168" fontId="29" fillId="0" borderId="0" xfId="1" applyNumberFormat="1" applyFont="1" applyBorder="1"/>
    <xf numFmtId="14" fontId="26" fillId="0" borderId="0" xfId="0" applyNumberFormat="1" applyFont="1" applyFill="1" applyBorder="1" applyAlignment="1">
      <alignment vertical="center"/>
    </xf>
    <xf numFmtId="168" fontId="26" fillId="0" borderId="0" xfId="2" applyNumberFormat="1" applyFont="1" applyFill="1" applyBorder="1" applyAlignment="1">
      <alignment vertical="center"/>
    </xf>
    <xf numFmtId="0" fontId="29" fillId="0" borderId="0" xfId="0" applyFont="1" applyBorder="1" applyAlignment="1">
      <alignment horizontal="left"/>
    </xf>
    <xf numFmtId="15" fontId="28" fillId="0" borderId="0" xfId="0" applyNumberFormat="1" applyFont="1" applyBorder="1"/>
    <xf numFmtId="168" fontId="28" fillId="0" borderId="0" xfId="0" applyNumberFormat="1" applyFont="1" applyBorder="1" applyAlignment="1">
      <alignment horizontal="center"/>
    </xf>
    <xf numFmtId="168" fontId="28" fillId="0" borderId="0" xfId="1" applyNumberFormat="1" applyFont="1" applyBorder="1"/>
    <xf numFmtId="0" fontId="29" fillId="0" borderId="0" xfId="0" applyFont="1" applyBorder="1" applyAlignment="1">
      <alignment horizontal="center"/>
    </xf>
    <xf numFmtId="0" fontId="36" fillId="0" borderId="0" xfId="0" applyFont="1" applyBorder="1" applyAlignment="1">
      <alignment horizontal="center"/>
    </xf>
    <xf numFmtId="0" fontId="29" fillId="0" borderId="0" xfId="0" applyFont="1" applyBorder="1" applyAlignment="1"/>
    <xf numFmtId="15" fontId="29" fillId="0" borderId="0" xfId="0" applyNumberFormat="1" applyFont="1" applyBorder="1" applyAlignment="1">
      <alignment horizontal="right"/>
    </xf>
    <xf numFmtId="168" fontId="26" fillId="0" borderId="0" xfId="1" applyNumberFormat="1" applyFont="1" applyFill="1" applyBorder="1" applyAlignment="1">
      <alignment vertical="center"/>
    </xf>
    <xf numFmtId="168" fontId="37" fillId="0" borderId="0" xfId="1" applyNumberFormat="1" applyFont="1" applyBorder="1"/>
    <xf numFmtId="168" fontId="28" fillId="0" borderId="0" xfId="1" applyNumberFormat="1" applyFont="1" applyBorder="1" applyAlignment="1">
      <alignment vertical="center"/>
    </xf>
    <xf numFmtId="168" fontId="28" fillId="0" borderId="0" xfId="0" applyNumberFormat="1" applyFont="1" applyBorder="1"/>
    <xf numFmtId="0" fontId="28" fillId="0" borderId="0" xfId="0" applyFont="1" applyFill="1" applyBorder="1"/>
    <xf numFmtId="0" fontId="26" fillId="0" borderId="0" xfId="0" applyFont="1" applyBorder="1" applyAlignment="1" applyProtection="1">
      <alignment horizontal="left"/>
      <protection hidden="1"/>
    </xf>
    <xf numFmtId="43" fontId="32" fillId="0" borderId="0" xfId="1" applyFont="1" applyBorder="1" applyProtection="1">
      <protection hidden="1"/>
    </xf>
    <xf numFmtId="164" fontId="27" fillId="0" borderId="0" xfId="1" applyNumberFormat="1" applyFont="1" applyFill="1" applyProtection="1">
      <protection hidden="1"/>
    </xf>
    <xf numFmtId="43" fontId="26" fillId="0" borderId="0" xfId="0" applyNumberFormat="1" applyFont="1" applyBorder="1"/>
    <xf numFmtId="168" fontId="29" fillId="0" borderId="10" xfId="1" applyNumberFormat="1" applyFont="1" applyFill="1" applyBorder="1"/>
    <xf numFmtId="43" fontId="33" fillId="0" borderId="10" xfId="1" applyFont="1" applyBorder="1"/>
    <xf numFmtId="0" fontId="33" fillId="0" borderId="11" xfId="0" applyFont="1" applyFill="1" applyBorder="1" applyProtection="1">
      <protection hidden="1"/>
    </xf>
    <xf numFmtId="43" fontId="33" fillId="0" borderId="11" xfId="1" applyFont="1" applyFill="1" applyBorder="1" applyProtection="1">
      <protection hidden="1"/>
    </xf>
    <xf numFmtId="43" fontId="29" fillId="2" borderId="10" xfId="1" applyFont="1" applyFill="1" applyBorder="1"/>
    <xf numFmtId="43" fontId="34" fillId="0" borderId="11" xfId="0" applyNumberFormat="1" applyFont="1" applyFill="1" applyBorder="1" applyAlignment="1" applyProtection="1">
      <alignment horizontal="right"/>
    </xf>
    <xf numFmtId="43" fontId="34" fillId="2" borderId="11" xfId="0" applyNumberFormat="1" applyFont="1" applyFill="1" applyBorder="1" applyAlignment="1" applyProtection="1">
      <alignment horizontal="right"/>
    </xf>
    <xf numFmtId="43" fontId="30" fillId="0" borderId="11" xfId="0" applyNumberFormat="1" applyFont="1" applyFill="1" applyBorder="1" applyAlignment="1" applyProtection="1">
      <alignment horizontal="right"/>
    </xf>
    <xf numFmtId="0" fontId="29" fillId="0" borderId="10" xfId="0" applyFont="1" applyFill="1" applyBorder="1" applyAlignment="1">
      <alignment horizontal="left"/>
    </xf>
    <xf numFmtId="169" fontId="34" fillId="0" borderId="10" xfId="0" applyNumberFormat="1" applyFont="1" applyFill="1" applyBorder="1" applyAlignment="1">
      <alignment horizontal="left"/>
    </xf>
    <xf numFmtId="0" fontId="34" fillId="0" borderId="10" xfId="0" applyFont="1" applyFill="1" applyBorder="1"/>
    <xf numFmtId="43" fontId="27" fillId="0" borderId="10" xfId="1" applyFont="1" applyFill="1" applyBorder="1" applyAlignment="1" applyProtection="1">
      <protection hidden="1"/>
    </xf>
    <xf numFmtId="167" fontId="27" fillId="0" borderId="10" xfId="1" applyNumberFormat="1" applyFont="1" applyFill="1" applyBorder="1" applyAlignment="1" applyProtection="1">
      <protection hidden="1"/>
    </xf>
    <xf numFmtId="0" fontId="26" fillId="0" borderId="0" xfId="0" applyFont="1" applyFill="1" applyAlignment="1">
      <alignment horizontal="left"/>
    </xf>
    <xf numFmtId="0" fontId="26" fillId="0" borderId="0" xfId="0" applyFont="1" applyFill="1" applyBorder="1" applyAlignment="1" applyProtection="1">
      <alignment horizontal="left"/>
      <protection hidden="1"/>
    </xf>
    <xf numFmtId="0" fontId="29" fillId="0" borderId="0" xfId="0" applyFont="1" applyFill="1" applyBorder="1" applyAlignment="1"/>
    <xf numFmtId="0" fontId="26" fillId="0" borderId="0" xfId="0" applyNumberFormat="1" applyFont="1" applyFill="1" applyAlignment="1" applyProtection="1">
      <alignment horizontal="left"/>
      <protection hidden="1"/>
    </xf>
    <xf numFmtId="0" fontId="31" fillId="0" borderId="0" xfId="0" applyFont="1" applyFill="1" applyBorder="1"/>
    <xf numFmtId="164" fontId="30" fillId="0" borderId="0" xfId="0" applyNumberFormat="1" applyFont="1"/>
    <xf numFmtId="171" fontId="29" fillId="0" borderId="10" xfId="0" applyNumberFormat="1" applyFont="1" applyFill="1" applyBorder="1" applyAlignment="1">
      <alignment horizontal="left"/>
    </xf>
    <xf numFmtId="0" fontId="29" fillId="0" borderId="0" xfId="0" applyFont="1" applyAlignment="1"/>
    <xf numFmtId="168" fontId="26" fillId="0" borderId="10" xfId="1" applyNumberFormat="1" applyFont="1" applyFill="1" applyBorder="1" applyProtection="1">
      <protection hidden="1"/>
    </xf>
    <xf numFmtId="171" fontId="33" fillId="0" borderId="10" xfId="0" applyNumberFormat="1" applyFont="1" applyFill="1" applyBorder="1" applyAlignment="1">
      <alignment horizontal="left"/>
    </xf>
    <xf numFmtId="0" fontId="33" fillId="0" borderId="10" xfId="0" applyFont="1" applyBorder="1"/>
    <xf numFmtId="168" fontId="27" fillId="0" borderId="10" xfId="1" applyNumberFormat="1" applyFont="1" applyFill="1" applyBorder="1" applyProtection="1">
      <protection hidden="1"/>
    </xf>
    <xf numFmtId="0" fontId="33" fillId="25" borderId="10" xfId="0" applyFont="1" applyFill="1" applyBorder="1" applyAlignment="1"/>
    <xf numFmtId="0" fontId="39" fillId="25" borderId="10" xfId="0" applyFont="1" applyFill="1" applyBorder="1" applyAlignment="1"/>
    <xf numFmtId="167" fontId="39" fillId="0" borderId="10" xfId="0" applyNumberFormat="1" applyFont="1" applyFill="1" applyBorder="1" applyProtection="1">
      <protection hidden="1"/>
    </xf>
    <xf numFmtId="168" fontId="26" fillId="25" borderId="10" xfId="1" applyNumberFormat="1" applyFont="1" applyFill="1" applyBorder="1" applyAlignment="1"/>
    <xf numFmtId="0" fontId="39" fillId="25" borderId="10" xfId="0" applyNumberFormat="1" applyFont="1" applyFill="1" applyBorder="1" applyAlignment="1"/>
    <xf numFmtId="43" fontId="39" fillId="25" borderId="10" xfId="1" applyFont="1" applyFill="1" applyBorder="1" applyAlignment="1"/>
    <xf numFmtId="43" fontId="34" fillId="25" borderId="10" xfId="0" applyNumberFormat="1" applyFont="1" applyFill="1" applyBorder="1" applyAlignment="1"/>
    <xf numFmtId="169" fontId="25" fillId="0" borderId="10" xfId="0" applyNumberFormat="1" applyFont="1" applyFill="1" applyBorder="1" applyAlignment="1">
      <alignment horizontal="left"/>
    </xf>
    <xf numFmtId="43" fontId="40" fillId="25" borderId="10" xfId="0" applyNumberFormat="1" applyFont="1" applyFill="1" applyBorder="1" applyAlignment="1"/>
    <xf numFmtId="43" fontId="26" fillId="25" borderId="10" xfId="1" applyFont="1" applyFill="1" applyBorder="1" applyAlignment="1"/>
    <xf numFmtId="43" fontId="26" fillId="0" borderId="10" xfId="1" applyFont="1" applyFill="1" applyBorder="1" applyAlignment="1"/>
    <xf numFmtId="43" fontId="39" fillId="25" borderId="10" xfId="1" applyFont="1" applyFill="1" applyBorder="1" applyAlignment="1">
      <alignment vertical="center"/>
    </xf>
    <xf numFmtId="168" fontId="26" fillId="0" borderId="38" xfId="1" applyNumberFormat="1" applyFont="1" applyFill="1" applyBorder="1" applyAlignment="1"/>
    <xf numFmtId="0" fontId="39" fillId="25" borderId="38" xfId="0" applyFont="1" applyFill="1" applyBorder="1" applyAlignment="1"/>
    <xf numFmtId="43" fontId="33" fillId="0" borderId="38" xfId="1" applyFont="1" applyFill="1" applyBorder="1" applyProtection="1">
      <protection hidden="1"/>
    </xf>
    <xf numFmtId="164" fontId="27" fillId="0" borderId="26" xfId="1" applyNumberFormat="1" applyFont="1" applyFill="1" applyBorder="1" applyAlignment="1" applyProtection="1">
      <protection hidden="1"/>
    </xf>
    <xf numFmtId="0" fontId="26" fillId="0" borderId="0" xfId="0" applyFont="1" applyAlignment="1" applyProtection="1">
      <alignment horizontal="left"/>
      <protection locked="0"/>
    </xf>
    <xf numFmtId="164" fontId="26" fillId="0" borderId="0" xfId="1" applyNumberFormat="1" applyFont="1" applyFill="1" applyProtection="1">
      <protection locked="0"/>
    </xf>
    <xf numFmtId="0" fontId="26" fillId="0" borderId="0" xfId="0" applyFont="1" applyFill="1" applyProtection="1">
      <protection locked="0"/>
    </xf>
    <xf numFmtId="15" fontId="31" fillId="0" borderId="0" xfId="0" applyNumberFormat="1" applyFont="1" applyAlignment="1">
      <alignment horizontal="left"/>
    </xf>
    <xf numFmtId="43" fontId="26" fillId="0" borderId="0" xfId="1" applyNumberFormat="1" applyFont="1" applyFill="1"/>
    <xf numFmtId="15" fontId="26" fillId="0" borderId="0" xfId="0" applyNumberFormat="1" applyFont="1" applyAlignment="1">
      <alignment horizontal="left"/>
    </xf>
    <xf numFmtId="0" fontId="29" fillId="0" borderId="38" xfId="0" applyFont="1" applyBorder="1" applyAlignment="1"/>
    <xf numFmtId="15" fontId="33" fillId="0" borderId="38" xfId="0" applyNumberFormat="1" applyFont="1" applyBorder="1" applyAlignment="1">
      <alignment horizontal="left"/>
    </xf>
    <xf numFmtId="165" fontId="26" fillId="26" borderId="0" xfId="0" applyNumberFormat="1" applyFont="1" applyFill="1" applyAlignment="1">
      <alignment horizontal="center"/>
    </xf>
    <xf numFmtId="0" fontId="26" fillId="26" borderId="0" xfId="0" applyFont="1" applyFill="1"/>
    <xf numFmtId="0" fontId="29" fillId="0" borderId="10" xfId="0" applyFont="1" applyFill="1" applyBorder="1" applyAlignment="1"/>
    <xf numFmtId="168" fontId="33" fillId="0" borderId="11" xfId="1" applyNumberFormat="1" applyFont="1" applyFill="1" applyBorder="1" applyProtection="1">
      <protection hidden="1"/>
    </xf>
    <xf numFmtId="0" fontId="33" fillId="0" borderId="10" xfId="0" applyFont="1" applyFill="1" applyBorder="1" applyAlignment="1">
      <alignment horizontal="left"/>
    </xf>
    <xf numFmtId="169" fontId="33" fillId="0" borderId="10" xfId="0" applyNumberFormat="1" applyFont="1" applyFill="1" applyBorder="1" applyAlignment="1">
      <alignment horizontal="left"/>
    </xf>
    <xf numFmtId="43" fontId="31" fillId="2" borderId="10" xfId="1" applyFont="1" applyFill="1" applyBorder="1"/>
    <xf numFmtId="0" fontId="26" fillId="0" borderId="10" xfId="0" applyFont="1" applyFill="1" applyBorder="1" applyAlignment="1">
      <alignment horizontal="left"/>
    </xf>
    <xf numFmtId="168" fontId="33" fillId="0" borderId="10" xfId="1" applyNumberFormat="1" applyFont="1" applyFill="1" applyBorder="1"/>
    <xf numFmtId="15" fontId="30" fillId="0" borderId="10" xfId="0" applyNumberFormat="1" applyFont="1" applyFill="1" applyBorder="1" applyAlignment="1">
      <alignment horizontal="left"/>
    </xf>
    <xf numFmtId="0" fontId="30" fillId="0" borderId="10" xfId="0" applyFont="1" applyFill="1" applyBorder="1"/>
    <xf numFmtId="43" fontId="30" fillId="0" borderId="11" xfId="1" applyFont="1" applyFill="1" applyBorder="1" applyProtection="1">
      <protection hidden="1"/>
    </xf>
    <xf numFmtId="1" fontId="29" fillId="0" borderId="10" xfId="0" applyNumberFormat="1" applyFont="1" applyFill="1" applyBorder="1"/>
    <xf numFmtId="1" fontId="29" fillId="0" borderId="10" xfId="0" applyNumberFormat="1" applyFont="1" applyBorder="1"/>
    <xf numFmtId="168" fontId="29" fillId="0" borderId="10" xfId="1" applyNumberFormat="1" applyFont="1" applyBorder="1"/>
    <xf numFmtId="167" fontId="33" fillId="0" borderId="10" xfId="0" applyNumberFormat="1" applyFont="1" applyFill="1" applyBorder="1" applyProtection="1">
      <protection hidden="1"/>
    </xf>
    <xf numFmtId="15" fontId="27" fillId="0" borderId="0" xfId="0" applyNumberFormat="1" applyFont="1" applyFill="1" applyAlignment="1">
      <alignment horizontal="left"/>
    </xf>
    <xf numFmtId="0" fontId="27" fillId="0" borderId="0" xfId="0" applyFont="1" applyFill="1" applyAlignment="1">
      <alignment horizontal="left"/>
    </xf>
    <xf numFmtId="43" fontId="26" fillId="0" borderId="0" xfId="1" applyFont="1" applyFill="1"/>
    <xf numFmtId="0" fontId="29" fillId="0" borderId="38" xfId="0" applyFont="1" applyBorder="1" applyAlignment="1">
      <alignment horizontal="center" vertical="center"/>
    </xf>
    <xf numFmtId="172" fontId="29" fillId="0" borderId="38" xfId="0" applyNumberFormat="1" applyFont="1" applyBorder="1" applyAlignment="1">
      <alignment horizontal="center" vertical="center"/>
    </xf>
    <xf numFmtId="0" fontId="29" fillId="0" borderId="38" xfId="0" applyFont="1" applyBorder="1"/>
    <xf numFmtId="49" fontId="26" fillId="0" borderId="38" xfId="0" applyNumberFormat="1" applyFont="1" applyFill="1" applyBorder="1" applyAlignment="1">
      <alignment horizontal="left"/>
    </xf>
    <xf numFmtId="15" fontId="29" fillId="0" borderId="38" xfId="0" applyNumberFormat="1" applyFont="1" applyFill="1" applyBorder="1" applyAlignment="1">
      <alignment horizontal="right"/>
    </xf>
    <xf numFmtId="172" fontId="29" fillId="0" borderId="38" xfId="0" applyNumberFormat="1" applyFont="1" applyBorder="1" applyAlignment="1">
      <alignment horizontal="left"/>
    </xf>
    <xf numFmtId="172" fontId="29" fillId="0" borderId="38" xfId="0" applyNumberFormat="1" applyFont="1" applyBorder="1" applyAlignment="1">
      <alignment horizontal="center"/>
    </xf>
    <xf numFmtId="0" fontId="29" fillId="0" borderId="38" xfId="0" applyFont="1" applyBorder="1" applyAlignment="1">
      <alignment horizontal="center"/>
    </xf>
    <xf numFmtId="0" fontId="26" fillId="25" borderId="38" xfId="0" applyFont="1" applyFill="1" applyBorder="1" applyAlignment="1" applyProtection="1">
      <alignment horizontal="left" vertical="center"/>
      <protection locked="0"/>
    </xf>
    <xf numFmtId="0" fontId="26" fillId="26" borderId="0" xfId="0" applyFont="1" applyFill="1" applyAlignment="1">
      <alignment horizontal="left"/>
    </xf>
    <xf numFmtId="164" fontId="26" fillId="26" borderId="0" xfId="1" applyNumberFormat="1" applyFont="1" applyFill="1"/>
    <xf numFmtId="0" fontId="26" fillId="26" borderId="0" xfId="0" applyFont="1" applyFill="1" applyProtection="1"/>
    <xf numFmtId="0" fontId="26" fillId="26" borderId="0" xfId="0" applyFont="1" applyFill="1" applyAlignment="1" applyProtection="1">
      <alignment horizontal="left"/>
    </xf>
    <xf numFmtId="164" fontId="26" fillId="26" borderId="0" xfId="1" applyNumberFormat="1" applyFont="1" applyFill="1" applyProtection="1"/>
    <xf numFmtId="166" fontId="26" fillId="26" borderId="0" xfId="0" applyNumberFormat="1" applyFont="1" applyFill="1" applyProtection="1"/>
    <xf numFmtId="0" fontId="27" fillId="26" borderId="0" xfId="0" applyFont="1" applyFill="1" applyBorder="1" applyAlignment="1">
      <alignment horizontal="center"/>
    </xf>
    <xf numFmtId="0" fontId="27" fillId="26" borderId="0" xfId="0" applyFont="1" applyFill="1" applyAlignment="1" applyProtection="1">
      <alignment horizontal="left"/>
    </xf>
    <xf numFmtId="0" fontId="28" fillId="26" borderId="0" xfId="0" applyFont="1" applyFill="1" applyBorder="1"/>
    <xf numFmtId="0" fontId="26" fillId="26" borderId="0" xfId="0" applyFont="1" applyFill="1" applyBorder="1"/>
    <xf numFmtId="167" fontId="26" fillId="26" borderId="0" xfId="0" applyNumberFormat="1" applyFont="1" applyFill="1" applyBorder="1" applyAlignment="1" applyProtection="1">
      <alignment horizontal="right"/>
      <protection hidden="1"/>
    </xf>
    <xf numFmtId="0" fontId="26" fillId="26" borderId="0" xfId="0" applyFont="1" applyFill="1" applyAlignment="1" applyProtection="1">
      <alignment horizontal="left"/>
      <protection hidden="1"/>
    </xf>
    <xf numFmtId="0" fontId="28" fillId="26" borderId="0" xfId="0" applyFont="1" applyFill="1" applyBorder="1" applyAlignment="1"/>
    <xf numFmtId="0" fontId="29" fillId="26" borderId="0" xfId="0" applyFont="1" applyFill="1" applyBorder="1"/>
    <xf numFmtId="0" fontId="26" fillId="26" borderId="0" xfId="0" applyFont="1" applyFill="1" applyBorder="1" applyAlignment="1" applyProtection="1">
      <alignment horizontal="left"/>
      <protection hidden="1"/>
    </xf>
    <xf numFmtId="0" fontId="26" fillId="26" borderId="1" xfId="0" applyFont="1" applyFill="1" applyBorder="1" applyAlignment="1">
      <alignment horizontal="left"/>
    </xf>
    <xf numFmtId="167" fontId="26" fillId="26" borderId="1" xfId="0" applyNumberFormat="1" applyFont="1" applyFill="1" applyBorder="1" applyAlignment="1" applyProtection="1">
      <alignment horizontal="left"/>
      <protection hidden="1"/>
    </xf>
    <xf numFmtId="0" fontId="30" fillId="26" borderId="0" xfId="0" applyFont="1" applyFill="1"/>
    <xf numFmtId="167" fontId="30" fillId="26" borderId="0" xfId="0" applyNumberFormat="1" applyFont="1" applyFill="1" applyBorder="1" applyProtection="1">
      <protection hidden="1"/>
    </xf>
    <xf numFmtId="0" fontId="29" fillId="26" borderId="0" xfId="0" applyFont="1" applyFill="1" applyBorder="1" applyAlignment="1"/>
    <xf numFmtId="0" fontId="32" fillId="26" borderId="0" xfId="0" applyFont="1" applyFill="1"/>
    <xf numFmtId="43" fontId="32" fillId="26" borderId="0" xfId="1" applyFont="1" applyFill="1" applyBorder="1" applyProtection="1">
      <protection hidden="1"/>
    </xf>
    <xf numFmtId="0" fontId="30" fillId="26" borderId="0" xfId="0" applyFont="1" applyFill="1" applyBorder="1"/>
    <xf numFmtId="167" fontId="30" fillId="26" borderId="0" xfId="0" applyNumberFormat="1" applyFont="1" applyFill="1"/>
    <xf numFmtId="167" fontId="32" fillId="26" borderId="0" xfId="0" applyNumberFormat="1" applyFont="1" applyFill="1" applyBorder="1" applyProtection="1">
      <protection hidden="1"/>
    </xf>
    <xf numFmtId="164" fontId="27" fillId="26" borderId="0" xfId="1" applyNumberFormat="1" applyFont="1" applyFill="1" applyProtection="1">
      <protection hidden="1"/>
    </xf>
    <xf numFmtId="0" fontId="26" fillId="26" borderId="0" xfId="0" applyFont="1" applyFill="1" applyProtection="1">
      <protection hidden="1"/>
    </xf>
    <xf numFmtId="164" fontId="26" fillId="26" borderId="0" xfId="1" applyNumberFormat="1" applyFont="1" applyFill="1" applyBorder="1" applyAlignment="1" applyProtection="1">
      <protection hidden="1"/>
    </xf>
    <xf numFmtId="0" fontId="29" fillId="26" borderId="10" xfId="0" applyFont="1" applyFill="1" applyBorder="1"/>
    <xf numFmtId="0" fontId="26" fillId="26" borderId="10" xfId="0" applyFont="1" applyFill="1" applyBorder="1"/>
    <xf numFmtId="168" fontId="29" fillId="26" borderId="10" xfId="1" applyNumberFormat="1" applyFont="1" applyFill="1" applyBorder="1"/>
    <xf numFmtId="43" fontId="29" fillId="26" borderId="10" xfId="1" applyFont="1" applyFill="1" applyBorder="1"/>
    <xf numFmtId="0" fontId="27" fillId="26" borderId="11" xfId="0" applyFont="1" applyFill="1" applyBorder="1" applyProtection="1">
      <protection hidden="1"/>
    </xf>
    <xf numFmtId="167" fontId="26" fillId="26" borderId="11" xfId="0" applyNumberFormat="1" applyFont="1" applyFill="1" applyBorder="1" applyProtection="1">
      <protection hidden="1"/>
    </xf>
    <xf numFmtId="0" fontId="29" fillId="26" borderId="10" xfId="0" applyFont="1" applyFill="1" applyBorder="1" applyAlignment="1"/>
    <xf numFmtId="167" fontId="26" fillId="26" borderId="10" xfId="0" applyNumberFormat="1" applyFont="1" applyFill="1" applyBorder="1" applyProtection="1">
      <protection hidden="1"/>
    </xf>
    <xf numFmtId="0" fontId="33" fillId="26" borderId="10" xfId="0" applyFont="1" applyFill="1" applyBorder="1"/>
    <xf numFmtId="168" fontId="33" fillId="26" borderId="10" xfId="1" applyNumberFormat="1" applyFont="1" applyFill="1" applyBorder="1"/>
    <xf numFmtId="43" fontId="33" fillId="26" borderId="10" xfId="1" applyFont="1" applyFill="1" applyBorder="1"/>
    <xf numFmtId="0" fontId="33" fillId="26" borderId="11" xfId="0" applyFont="1" applyFill="1" applyBorder="1" applyProtection="1">
      <protection hidden="1"/>
    </xf>
    <xf numFmtId="168" fontId="33" fillId="26" borderId="11" xfId="1" applyNumberFormat="1" applyFont="1" applyFill="1" applyBorder="1" applyProtection="1">
      <protection hidden="1"/>
    </xf>
    <xf numFmtId="0" fontId="34" fillId="26" borderId="11" xfId="0" applyFont="1" applyFill="1" applyBorder="1" applyAlignment="1" applyProtection="1">
      <alignment horizontal="left"/>
    </xf>
    <xf numFmtId="43" fontId="34" fillId="26" borderId="11" xfId="0" applyNumberFormat="1" applyFont="1" applyFill="1" applyBorder="1" applyAlignment="1" applyProtection="1">
      <alignment horizontal="right"/>
    </xf>
    <xf numFmtId="43" fontId="33" fillId="26" borderId="11" xfId="1" applyFont="1" applyFill="1" applyBorder="1" applyProtection="1">
      <protection hidden="1"/>
    </xf>
    <xf numFmtId="0" fontId="33" fillId="26" borderId="10" xfId="0" applyFont="1" applyFill="1" applyBorder="1" applyAlignment="1">
      <alignment horizontal="left"/>
    </xf>
    <xf numFmtId="43" fontId="30" fillId="26" borderId="11" xfId="0" applyNumberFormat="1" applyFont="1" applyFill="1" applyBorder="1" applyAlignment="1" applyProtection="1">
      <alignment horizontal="right"/>
    </xf>
    <xf numFmtId="43" fontId="31" fillId="26" borderId="10" xfId="1" applyFont="1" applyFill="1" applyBorder="1"/>
    <xf numFmtId="169" fontId="34" fillId="26" borderId="10" xfId="0" applyNumberFormat="1" applyFont="1" applyFill="1" applyBorder="1" applyAlignment="1">
      <alignment horizontal="left"/>
    </xf>
    <xf numFmtId="169" fontId="33" fillId="26" borderId="10" xfId="0" applyNumberFormat="1" applyFont="1" applyFill="1" applyBorder="1" applyAlignment="1">
      <alignment horizontal="left"/>
    </xf>
    <xf numFmtId="0" fontId="33" fillId="26" borderId="11" xfId="0" applyFont="1" applyFill="1" applyBorder="1" applyAlignment="1" applyProtection="1">
      <alignment horizontal="left"/>
    </xf>
    <xf numFmtId="43" fontId="30" fillId="26" borderId="10" xfId="0" applyNumberFormat="1" applyFont="1" applyFill="1" applyBorder="1" applyAlignment="1">
      <alignment horizontal="left"/>
    </xf>
    <xf numFmtId="0" fontId="29" fillId="26" borderId="10" xfId="0" applyFont="1" applyFill="1" applyBorder="1" applyAlignment="1">
      <alignment horizontal="left"/>
    </xf>
    <xf numFmtId="0" fontId="26" fillId="26" borderId="10" xfId="0" applyFont="1" applyFill="1" applyBorder="1" applyAlignment="1">
      <alignment horizontal="left"/>
    </xf>
    <xf numFmtId="168" fontId="34" fillId="26" borderId="11" xfId="0" applyNumberFormat="1" applyFont="1" applyFill="1" applyBorder="1" applyAlignment="1" applyProtection="1">
      <alignment horizontal="right"/>
    </xf>
    <xf numFmtId="43" fontId="34" fillId="26" borderId="11" xfId="1" applyFont="1" applyFill="1" applyBorder="1" applyAlignment="1" applyProtection="1">
      <alignment horizontal="right"/>
    </xf>
    <xf numFmtId="43" fontId="34" fillId="26" borderId="10" xfId="1" applyNumberFormat="1" applyFont="1" applyFill="1" applyBorder="1"/>
    <xf numFmtId="168" fontId="34" fillId="26" borderId="10" xfId="1" applyNumberFormat="1" applyFont="1" applyFill="1" applyBorder="1"/>
    <xf numFmtId="43" fontId="34" fillId="26" borderId="10" xfId="1" applyFont="1" applyFill="1" applyBorder="1"/>
    <xf numFmtId="1" fontId="29" fillId="26" borderId="10" xfId="0" applyNumberFormat="1" applyFont="1" applyFill="1" applyBorder="1"/>
    <xf numFmtId="167" fontId="33" fillId="26" borderId="10" xfId="0" applyNumberFormat="1" applyFont="1" applyFill="1" applyBorder="1" applyProtection="1">
      <protection hidden="1"/>
    </xf>
    <xf numFmtId="170" fontId="33" fillId="26" borderId="10" xfId="0" applyNumberFormat="1" applyFont="1" applyFill="1" applyBorder="1" applyProtection="1">
      <protection hidden="1"/>
    </xf>
    <xf numFmtId="43" fontId="27" fillId="26" borderId="10" xfId="1" applyFont="1" applyFill="1" applyBorder="1" applyAlignment="1" applyProtection="1">
      <protection hidden="1"/>
    </xf>
    <xf numFmtId="167" fontId="27" fillId="26" borderId="10" xfId="1" applyNumberFormat="1" applyFont="1" applyFill="1" applyBorder="1" applyAlignment="1" applyProtection="1">
      <protection hidden="1"/>
    </xf>
    <xf numFmtId="43" fontId="27" fillId="2" borderId="36" xfId="1" applyFont="1" applyFill="1" applyBorder="1" applyAlignment="1">
      <alignment horizontal="center" vertical="center"/>
    </xf>
    <xf numFmtId="0" fontId="27" fillId="2" borderId="37" xfId="0" applyFont="1" applyFill="1" applyBorder="1" applyAlignment="1">
      <alignment horizontal="center" vertical="center"/>
    </xf>
    <xf numFmtId="43" fontId="27" fillId="2" borderId="11" xfId="1" applyFont="1" applyFill="1" applyBorder="1" applyAlignment="1">
      <alignment horizontal="center" vertical="center"/>
    </xf>
    <xf numFmtId="0" fontId="27" fillId="2" borderId="35" xfId="0" applyFont="1" applyFill="1" applyBorder="1" applyAlignment="1">
      <alignment horizontal="center" vertical="center"/>
    </xf>
    <xf numFmtId="0" fontId="27" fillId="0" borderId="35" xfId="0" applyFont="1" applyFill="1" applyBorder="1" applyAlignment="1">
      <alignment horizontal="center" vertical="center"/>
    </xf>
    <xf numFmtId="0" fontId="27" fillId="0" borderId="11" xfId="0" applyFont="1" applyFill="1" applyBorder="1" applyAlignment="1">
      <alignment horizontal="center" vertical="center"/>
    </xf>
    <xf numFmtId="43" fontId="27" fillId="0" borderId="11" xfId="1" applyFont="1" applyFill="1" applyBorder="1" applyAlignment="1">
      <alignment horizontal="center" vertical="center"/>
    </xf>
    <xf numFmtId="43" fontId="29" fillId="0" borderId="1" xfId="1" applyFont="1" applyBorder="1"/>
    <xf numFmtId="0" fontId="29" fillId="0" borderId="1" xfId="0" applyFont="1" applyBorder="1"/>
    <xf numFmtId="0" fontId="28" fillId="0" borderId="0" xfId="0" applyFont="1" applyBorder="1" applyAlignment="1">
      <alignment horizontal="center"/>
    </xf>
    <xf numFmtId="0" fontId="36" fillId="0" borderId="0" xfId="0" applyFont="1" applyBorder="1" applyAlignment="1">
      <alignment horizontal="center"/>
    </xf>
    <xf numFmtId="0" fontId="26" fillId="0" borderId="0" xfId="0" applyFont="1" applyAlignment="1"/>
    <xf numFmtId="164" fontId="26" fillId="0" borderId="0" xfId="1" applyNumberFormat="1" applyFont="1" applyFill="1" applyAlignment="1"/>
    <xf numFmtId="0" fontId="26" fillId="0" borderId="0" xfId="0" applyFont="1" applyFill="1" applyAlignment="1"/>
    <xf numFmtId="0" fontId="26" fillId="0" borderId="0" xfId="0" applyFont="1" applyAlignment="1" applyProtection="1"/>
    <xf numFmtId="164" fontId="26" fillId="0" borderId="0" xfId="1" applyNumberFormat="1" applyFont="1" applyFill="1" applyAlignment="1" applyProtection="1"/>
    <xf numFmtId="166" fontId="26" fillId="0" borderId="0" xfId="0" applyNumberFormat="1" applyFont="1" applyFill="1" applyAlignment="1" applyProtection="1"/>
    <xf numFmtId="0" fontId="26" fillId="0" borderId="0" xfId="0" applyFont="1" applyFill="1" applyBorder="1" applyAlignment="1"/>
    <xf numFmtId="0" fontId="30" fillId="0" borderId="0" xfId="0" applyFont="1" applyAlignment="1"/>
    <xf numFmtId="167" fontId="30" fillId="0" borderId="0" xfId="0" applyNumberFormat="1" applyFont="1" applyBorder="1" applyAlignment="1" applyProtection="1">
      <protection hidden="1"/>
    </xf>
    <xf numFmtId="0" fontId="32" fillId="0" borderId="0" xfId="0" applyFont="1" applyAlignment="1"/>
    <xf numFmtId="167" fontId="32" fillId="0" borderId="0" xfId="0" applyNumberFormat="1" applyFont="1" applyBorder="1" applyAlignment="1" applyProtection="1">
      <protection hidden="1"/>
    </xf>
    <xf numFmtId="0" fontId="31" fillId="0" borderId="0" xfId="0" applyFont="1" applyFill="1" applyBorder="1" applyAlignment="1"/>
    <xf numFmtId="164" fontId="30" fillId="0" borderId="0" xfId="0" applyNumberFormat="1" applyFont="1" applyAlignment="1"/>
    <xf numFmtId="0" fontId="26" fillId="0" borderId="0" xfId="0" applyFont="1" applyBorder="1" applyAlignment="1"/>
    <xf numFmtId="43" fontId="26" fillId="0" borderId="0" xfId="0" applyNumberFormat="1" applyFont="1" applyBorder="1" applyAlignment="1"/>
    <xf numFmtId="0" fontId="29" fillId="0" borderId="10" xfId="0" applyFont="1" applyBorder="1" applyAlignment="1"/>
    <xf numFmtId="164" fontId="26" fillId="0" borderId="11" xfId="1" applyNumberFormat="1" applyFont="1" applyFill="1" applyBorder="1" applyAlignment="1" applyProtection="1">
      <protection hidden="1"/>
    </xf>
    <xf numFmtId="43" fontId="27" fillId="0" borderId="11" xfId="1" applyFont="1" applyFill="1" applyBorder="1" applyAlignment="1" applyProtection="1">
      <protection hidden="1"/>
    </xf>
    <xf numFmtId="167" fontId="26" fillId="0" borderId="11" xfId="0" applyNumberFormat="1" applyFont="1" applyBorder="1" applyAlignment="1" applyProtection="1">
      <protection hidden="1"/>
    </xf>
    <xf numFmtId="43" fontId="26" fillId="0" borderId="10" xfId="1" applyFont="1" applyFill="1" applyBorder="1" applyAlignment="1" applyProtection="1">
      <protection hidden="1"/>
    </xf>
    <xf numFmtId="167" fontId="26" fillId="0" borderId="10" xfId="0" applyNumberFormat="1" applyFont="1" applyFill="1" applyBorder="1" applyAlignment="1" applyProtection="1">
      <protection hidden="1"/>
    </xf>
    <xf numFmtId="0" fontId="26" fillId="0" borderId="10" xfId="0" applyFont="1" applyFill="1" applyBorder="1" applyAlignment="1" applyProtection="1">
      <protection hidden="1"/>
    </xf>
    <xf numFmtId="167" fontId="26" fillId="0" borderId="10" xfId="0" applyNumberFormat="1" applyFont="1" applyBorder="1" applyAlignment="1" applyProtection="1">
      <protection hidden="1"/>
    </xf>
    <xf numFmtId="0" fontId="33" fillId="0" borderId="38" xfId="0" applyFont="1" applyBorder="1" applyAlignment="1"/>
    <xf numFmtId="43" fontId="33" fillId="0" borderId="38" xfId="1" applyFont="1" applyFill="1" applyBorder="1" applyAlignment="1" applyProtection="1">
      <protection hidden="1"/>
    </xf>
    <xf numFmtId="167" fontId="33" fillId="0" borderId="38" xfId="0" applyNumberFormat="1" applyFont="1" applyFill="1" applyBorder="1" applyAlignment="1" applyProtection="1">
      <protection hidden="1"/>
    </xf>
    <xf numFmtId="43" fontId="33" fillId="0" borderId="10" xfId="1" applyFont="1" applyFill="1" applyBorder="1" applyAlignment="1" applyProtection="1">
      <protection hidden="1"/>
    </xf>
    <xf numFmtId="168" fontId="26" fillId="0" borderId="10" xfId="1" applyNumberFormat="1" applyFont="1" applyFill="1" applyBorder="1" applyAlignment="1" applyProtection="1">
      <protection hidden="1"/>
    </xf>
    <xf numFmtId="171" fontId="29" fillId="0" borderId="10" xfId="0" applyNumberFormat="1" applyFont="1" applyFill="1" applyBorder="1" applyAlignment="1">
      <alignment horizontal="center"/>
    </xf>
    <xf numFmtId="0" fontId="26" fillId="0" borderId="10" xfId="0" applyFont="1" applyBorder="1" applyAlignment="1"/>
    <xf numFmtId="43" fontId="26" fillId="0" borderId="11" xfId="1" applyFont="1" applyFill="1" applyBorder="1" applyAlignment="1" applyProtection="1">
      <protection hidden="1"/>
    </xf>
    <xf numFmtId="168" fontId="33" fillId="0" borderId="10" xfId="1" applyNumberFormat="1" applyFont="1" applyFill="1" applyBorder="1" applyAlignment="1" applyProtection="1">
      <protection hidden="1"/>
    </xf>
    <xf numFmtId="164" fontId="26" fillId="0" borderId="0" xfId="1" applyNumberFormat="1" applyFont="1" applyFill="1" applyAlignment="1" applyProtection="1">
      <protection locked="0"/>
    </xf>
    <xf numFmtId="0" fontId="26" fillId="0" borderId="0" xfId="0" applyFont="1" applyFill="1" applyAlignment="1" applyProtection="1">
      <protection locked="0"/>
    </xf>
    <xf numFmtId="43" fontId="26" fillId="0" borderId="0" xfId="0" applyNumberFormat="1" applyFont="1" applyFill="1" applyAlignment="1"/>
    <xf numFmtId="43" fontId="26" fillId="0" borderId="0" xfId="1" applyNumberFormat="1" applyFont="1" applyFill="1" applyAlignment="1"/>
    <xf numFmtId="164" fontId="26" fillId="0" borderId="0" xfId="1" applyNumberFormat="1" applyFont="1" applyFill="1" applyBorder="1" applyAlignment="1"/>
    <xf numFmtId="0" fontId="28" fillId="0" borderId="0" xfId="0" applyFont="1" applyBorder="1" applyAlignment="1"/>
    <xf numFmtId="0" fontId="27" fillId="0" borderId="0" xfId="0" applyFont="1" applyFill="1" applyBorder="1" applyAlignment="1">
      <alignment horizontal="left"/>
    </xf>
    <xf numFmtId="0" fontId="26" fillId="0" borderId="0" xfId="0" applyFont="1" applyFill="1" applyBorder="1" applyAlignment="1">
      <alignment horizontal="left"/>
    </xf>
    <xf numFmtId="15" fontId="26" fillId="0" borderId="0" xfId="0" applyNumberFormat="1" applyFont="1" applyFill="1" applyBorder="1" applyAlignment="1"/>
    <xf numFmtId="168" fontId="26" fillId="0" borderId="0" xfId="2" applyNumberFormat="1" applyFont="1" applyFill="1" applyBorder="1" applyAlignment="1">
      <alignment horizontal="center"/>
    </xf>
    <xf numFmtId="168" fontId="29" fillId="0" borderId="0" xfId="1" applyNumberFormat="1" applyFont="1" applyBorder="1" applyAlignment="1"/>
    <xf numFmtId="14" fontId="26" fillId="0" borderId="0" xfId="0" applyNumberFormat="1" applyFont="1" applyFill="1" applyBorder="1" applyAlignment="1"/>
    <xf numFmtId="168" fontId="26" fillId="0" borderId="0" xfId="2" applyNumberFormat="1" applyFont="1" applyFill="1" applyBorder="1" applyAlignment="1"/>
    <xf numFmtId="15" fontId="28" fillId="0" borderId="0" xfId="0" applyNumberFormat="1" applyFont="1" applyBorder="1" applyAlignment="1"/>
    <xf numFmtId="43" fontId="27" fillId="0" borderId="8" xfId="1" applyFont="1" applyFill="1" applyBorder="1" applyAlignment="1" applyProtection="1">
      <protection hidden="1"/>
    </xf>
    <xf numFmtId="167" fontId="27" fillId="0" borderId="8" xfId="1" applyNumberFormat="1" applyFont="1" applyFill="1" applyBorder="1" applyAlignment="1" applyProtection="1">
      <protection hidden="1"/>
    </xf>
    <xf numFmtId="167" fontId="27" fillId="0" borderId="9" xfId="1" applyNumberFormat="1" applyFont="1" applyFill="1" applyBorder="1" applyAlignment="1" applyProtection="1">
      <protection hidden="1"/>
    </xf>
    <xf numFmtId="15" fontId="33" fillId="0" borderId="38" xfId="0" applyNumberFormat="1" applyFont="1" applyBorder="1" applyAlignment="1" applyProtection="1">
      <alignment horizontal="left"/>
      <protection hidden="1"/>
    </xf>
    <xf numFmtId="0" fontId="33" fillId="0" borderId="38" xfId="0" applyFont="1" applyFill="1" applyBorder="1" applyAlignment="1" applyProtection="1">
      <alignment horizontal="left"/>
    </xf>
    <xf numFmtId="164" fontId="26" fillId="0" borderId="38" xfId="1" applyNumberFormat="1" applyFont="1" applyFill="1" applyBorder="1"/>
    <xf numFmtId="167" fontId="33" fillId="0" borderId="38" xfId="0" applyNumberFormat="1" applyFont="1" applyFill="1" applyBorder="1" applyProtection="1">
      <protection hidden="1"/>
    </xf>
    <xf numFmtId="170" fontId="33" fillId="0" borderId="38" xfId="0" applyNumberFormat="1" applyFont="1" applyFill="1" applyBorder="1" applyProtection="1">
      <protection hidden="1"/>
    </xf>
    <xf numFmtId="15" fontId="40" fillId="0" borderId="11" xfId="0" applyNumberFormat="1" applyFont="1" applyBorder="1" applyAlignment="1" applyProtection="1">
      <alignment horizontal="left"/>
      <protection hidden="1"/>
    </xf>
    <xf numFmtId="0" fontId="40" fillId="0" borderId="38" xfId="0" applyFont="1" applyBorder="1" applyAlignment="1" applyProtection="1">
      <alignment horizontal="left"/>
    </xf>
    <xf numFmtId="43" fontId="30" fillId="0" borderId="10" xfId="1" applyFont="1" applyFill="1" applyBorder="1"/>
    <xf numFmtId="43" fontId="28" fillId="0" borderId="10" xfId="1" applyFont="1" applyFill="1" applyBorder="1"/>
    <xf numFmtId="0" fontId="29" fillId="0" borderId="39" xfId="0" applyFont="1" applyBorder="1" applyAlignment="1"/>
    <xf numFmtId="43" fontId="26" fillId="0" borderId="39" xfId="1" applyFont="1" applyFill="1" applyBorder="1" applyAlignment="1" applyProtection="1">
      <protection hidden="1"/>
    </xf>
    <xf numFmtId="167" fontId="26" fillId="0" borderId="39" xfId="0" applyNumberFormat="1" applyFont="1" applyFill="1" applyBorder="1" applyAlignment="1" applyProtection="1">
      <protection hidden="1"/>
    </xf>
    <xf numFmtId="0" fontId="26" fillId="0" borderId="39" xfId="0" applyFont="1" applyFill="1" applyBorder="1" applyAlignment="1" applyProtection="1">
      <protection hidden="1"/>
    </xf>
    <xf numFmtId="0" fontId="28" fillId="0" borderId="0" xfId="0" applyFont="1" applyAlignment="1"/>
    <xf numFmtId="0" fontId="29" fillId="0" borderId="39" xfId="0" applyFont="1" applyBorder="1"/>
    <xf numFmtId="43" fontId="34" fillId="0" borderId="10" xfId="0" applyNumberFormat="1" applyFont="1" applyFill="1" applyBorder="1" applyAlignment="1"/>
    <xf numFmtId="0" fontId="33" fillId="0" borderId="39" xfId="0" applyFont="1" applyBorder="1" applyAlignment="1"/>
    <xf numFmtId="43" fontId="33" fillId="0" borderId="39" xfId="1" applyFont="1" applyFill="1" applyBorder="1" applyAlignment="1" applyProtection="1">
      <protection hidden="1"/>
    </xf>
    <xf numFmtId="0" fontId="29" fillId="0" borderId="39" xfId="0" applyFont="1" applyFill="1" applyBorder="1" applyAlignment="1"/>
    <xf numFmtId="0" fontId="29" fillId="0" borderId="0" xfId="0" applyFont="1" applyFill="1" applyAlignment="1"/>
    <xf numFmtId="167" fontId="26" fillId="26" borderId="0" xfId="0" applyNumberFormat="1" applyFont="1" applyFill="1"/>
    <xf numFmtId="164" fontId="27" fillId="26" borderId="0" xfId="1" applyNumberFormat="1" applyFont="1" applyFill="1" applyBorder="1" applyAlignment="1" applyProtection="1">
      <protection hidden="1"/>
    </xf>
    <xf numFmtId="43" fontId="26" fillId="26" borderId="0" xfId="0" applyNumberFormat="1" applyFont="1" applyFill="1" applyBorder="1"/>
    <xf numFmtId="43" fontId="26" fillId="26" borderId="0" xfId="0" applyNumberFormat="1" applyFont="1" applyFill="1"/>
    <xf numFmtId="43" fontId="33" fillId="26" borderId="10" xfId="1" applyFont="1" applyFill="1" applyBorder="1" applyAlignment="1">
      <alignment vertical="center"/>
    </xf>
    <xf numFmtId="15" fontId="35" fillId="26" borderId="11" xfId="0" applyNumberFormat="1" applyFont="1" applyFill="1" applyBorder="1" applyAlignment="1" applyProtection="1">
      <alignment horizontal="left"/>
      <protection hidden="1"/>
    </xf>
    <xf numFmtId="15" fontId="33" fillId="26" borderId="11" xfId="0" applyNumberFormat="1" applyFont="1" applyFill="1" applyBorder="1" applyAlignment="1" applyProtection="1">
      <alignment horizontal="left"/>
      <protection hidden="1"/>
    </xf>
    <xf numFmtId="15" fontId="34" fillId="26" borderId="11" xfId="0" applyNumberFormat="1" applyFont="1" applyFill="1" applyBorder="1" applyAlignment="1" applyProtection="1">
      <alignment horizontal="left"/>
      <protection hidden="1"/>
    </xf>
    <xf numFmtId="0" fontId="38" fillId="26" borderId="0" xfId="0" applyFont="1" applyFill="1"/>
    <xf numFmtId="43" fontId="30" fillId="26" borderId="10" xfId="1" applyFont="1" applyFill="1" applyBorder="1"/>
    <xf numFmtId="168" fontId="26" fillId="26" borderId="0" xfId="0" applyNumberFormat="1" applyFont="1" applyFill="1"/>
    <xf numFmtId="0" fontId="34" fillId="26" borderId="10" xfId="0" applyFont="1" applyFill="1" applyBorder="1"/>
    <xf numFmtId="43" fontId="34" fillId="26" borderId="11" xfId="0" applyNumberFormat="1" applyFont="1" applyFill="1" applyBorder="1" applyProtection="1">
      <protection hidden="1"/>
    </xf>
    <xf numFmtId="43" fontId="30" fillId="26" borderId="11" xfId="0" applyNumberFormat="1" applyFont="1" applyFill="1" applyBorder="1" applyProtection="1">
      <protection hidden="1"/>
    </xf>
    <xf numFmtId="43" fontId="27" fillId="26" borderId="11" xfId="0" applyNumberFormat="1" applyFont="1" applyFill="1" applyBorder="1" applyProtection="1">
      <protection hidden="1"/>
    </xf>
    <xf numFmtId="167" fontId="32" fillId="0" borderId="39" xfId="0" applyNumberFormat="1" applyFont="1" applyFill="1" applyBorder="1" applyAlignment="1" applyProtection="1">
      <protection hidden="1"/>
    </xf>
    <xf numFmtId="171" fontId="33" fillId="0" borderId="39" xfId="0" applyNumberFormat="1" applyFont="1" applyFill="1" applyBorder="1" applyAlignment="1">
      <alignment horizontal="left"/>
    </xf>
    <xf numFmtId="43" fontId="31" fillId="2" borderId="39" xfId="1" applyFont="1" applyFill="1" applyBorder="1" applyAlignment="1" applyProtection="1">
      <protection hidden="1"/>
    </xf>
    <xf numFmtId="171" fontId="29" fillId="2" borderId="10" xfId="0" applyNumberFormat="1" applyFont="1" applyFill="1" applyBorder="1" applyAlignment="1">
      <alignment horizontal="left"/>
    </xf>
    <xf numFmtId="0" fontId="29" fillId="2" borderId="39" xfId="0" applyFont="1" applyFill="1" applyBorder="1" applyAlignment="1"/>
    <xf numFmtId="43" fontId="26" fillId="2" borderId="10" xfId="1" applyFont="1" applyFill="1" applyBorder="1" applyAlignment="1" applyProtection="1">
      <protection hidden="1"/>
    </xf>
    <xf numFmtId="0" fontId="28" fillId="0" borderId="0" xfId="0" applyFont="1" applyBorder="1" applyAlignment="1">
      <alignment horizontal="center"/>
    </xf>
    <xf numFmtId="0" fontId="36" fillId="0" borderId="0" xfId="0" applyFont="1" applyBorder="1" applyAlignment="1">
      <alignment horizontal="center"/>
    </xf>
    <xf numFmtId="0" fontId="26" fillId="0" borderId="39" xfId="0" applyFont="1" applyFill="1" applyBorder="1" applyAlignment="1"/>
    <xf numFmtId="0" fontId="26" fillId="0" borderId="39" xfId="0" applyFont="1" applyBorder="1" applyAlignment="1"/>
    <xf numFmtId="43" fontId="26" fillId="0" borderId="40" xfId="1" applyFont="1" applyFill="1" applyBorder="1" applyAlignment="1" applyProtection="1">
      <protection hidden="1"/>
    </xf>
    <xf numFmtId="167" fontId="26" fillId="0" borderId="40" xfId="0" applyNumberFormat="1" applyFont="1" applyFill="1" applyBorder="1" applyAlignment="1" applyProtection="1">
      <protection hidden="1"/>
    </xf>
    <xf numFmtId="43" fontId="33" fillId="0" borderId="40" xfId="1" applyFont="1" applyFill="1" applyBorder="1" applyAlignment="1" applyProtection="1">
      <protection hidden="1"/>
    </xf>
    <xf numFmtId="0" fontId="28" fillId="0" borderId="0" xfId="0" applyFont="1" applyBorder="1" applyAlignment="1">
      <alignment horizontal="center"/>
    </xf>
    <xf numFmtId="0" fontId="36" fillId="0" borderId="0" xfId="0" applyFont="1" applyBorder="1" applyAlignment="1">
      <alignment horizontal="center"/>
    </xf>
    <xf numFmtId="167" fontId="32" fillId="0" borderId="40" xfId="0" applyNumberFormat="1" applyFont="1" applyFill="1" applyBorder="1" applyAlignment="1" applyProtection="1">
      <protection hidden="1"/>
    </xf>
    <xf numFmtId="43" fontId="26" fillId="0" borderId="41" xfId="1" applyFont="1" applyFill="1" applyBorder="1" applyAlignment="1" applyProtection="1">
      <protection hidden="1"/>
    </xf>
    <xf numFmtId="0" fontId="26" fillId="0" borderId="41" xfId="0" applyFont="1" applyFill="1" applyBorder="1" applyAlignment="1" applyProtection="1">
      <protection hidden="1"/>
    </xf>
    <xf numFmtId="0" fontId="35" fillId="0" borderId="39" xfId="0" applyFont="1" applyBorder="1" applyAlignment="1"/>
    <xf numFmtId="167" fontId="35" fillId="0" borderId="39" xfId="0" applyNumberFormat="1" applyFont="1" applyFill="1" applyBorder="1" applyAlignment="1" applyProtection="1">
      <protection hidden="1"/>
    </xf>
    <xf numFmtId="167" fontId="35" fillId="2" borderId="39" xfId="0" applyNumberFormat="1" applyFont="1" applyFill="1" applyBorder="1" applyAlignment="1" applyProtection="1">
      <protection hidden="1"/>
    </xf>
    <xf numFmtId="0" fontId="27" fillId="0" borderId="0" xfId="0" applyFont="1" applyBorder="1" applyAlignment="1" applyProtection="1">
      <alignment horizontal="center"/>
    </xf>
    <xf numFmtId="43" fontId="27" fillId="0" borderId="0" xfId="1" applyFont="1" applyFill="1" applyBorder="1" applyAlignment="1" applyProtection="1">
      <protection hidden="1"/>
    </xf>
    <xf numFmtId="167" fontId="27" fillId="0" borderId="0" xfId="1" applyNumberFormat="1" applyFont="1" applyFill="1" applyBorder="1" applyAlignment="1" applyProtection="1">
      <protection hidden="1"/>
    </xf>
    <xf numFmtId="0" fontId="27" fillId="2" borderId="36" xfId="0" applyFont="1" applyFill="1" applyBorder="1" applyAlignment="1">
      <alignment horizontal="center" vertical="center"/>
    </xf>
    <xf numFmtId="0" fontId="27" fillId="2" borderId="11" xfId="0" applyFont="1" applyFill="1" applyBorder="1" applyAlignment="1">
      <alignment horizontal="center" vertical="center"/>
    </xf>
    <xf numFmtId="0" fontId="29" fillId="0" borderId="41" xfId="0" applyFont="1" applyBorder="1"/>
    <xf numFmtId="0" fontId="30" fillId="0" borderId="0" xfId="0" applyFont="1" applyBorder="1" applyAlignment="1" applyProtection="1">
      <alignment horizontal="center"/>
    </xf>
    <xf numFmtId="0" fontId="30" fillId="0" borderId="0" xfId="0" applyFont="1" applyBorder="1" applyAlignment="1" applyProtection="1">
      <alignment horizontal="left"/>
    </xf>
    <xf numFmtId="171" fontId="35" fillId="0" borderId="10" xfId="0" applyNumberFormat="1" applyFont="1" applyFill="1" applyBorder="1" applyAlignment="1">
      <alignment horizontal="left"/>
    </xf>
    <xf numFmtId="43" fontId="31" fillId="2" borderId="10" xfId="1" applyFont="1" applyFill="1" applyBorder="1" applyAlignment="1" applyProtection="1">
      <protection hidden="1"/>
    </xf>
    <xf numFmtId="43" fontId="26" fillId="0" borderId="0" xfId="0" applyNumberFormat="1" applyFont="1" applyFill="1" applyAlignment="1">
      <alignment horizontal="center" vertical="center"/>
    </xf>
    <xf numFmtId="0" fontId="26" fillId="0" borderId="0" xfId="0" applyFont="1" applyFill="1" applyAlignment="1">
      <alignment horizontal="center" vertical="center"/>
    </xf>
    <xf numFmtId="15" fontId="31" fillId="0" borderId="38" xfId="0" applyNumberFormat="1" applyFont="1" applyBorder="1" applyAlignment="1">
      <alignment horizontal="left"/>
    </xf>
    <xf numFmtId="0" fontId="31" fillId="0" borderId="38" xfId="0" applyFont="1" applyBorder="1" applyAlignment="1"/>
    <xf numFmtId="43" fontId="39" fillId="0" borderId="38" xfId="1" applyFont="1" applyFill="1" applyBorder="1" applyAlignment="1" applyProtection="1">
      <protection hidden="1"/>
    </xf>
    <xf numFmtId="167" fontId="39" fillId="0" borderId="38" xfId="0" applyNumberFormat="1" applyFont="1" applyFill="1" applyBorder="1" applyAlignment="1" applyProtection="1">
      <protection hidden="1"/>
    </xf>
    <xf numFmtId="43" fontId="31" fillId="0" borderId="38" xfId="1" applyFont="1" applyFill="1" applyBorder="1" applyAlignment="1" applyProtection="1">
      <protection hidden="1"/>
    </xf>
    <xf numFmtId="43" fontId="31" fillId="0" borderId="10" xfId="1" applyFont="1" applyFill="1" applyBorder="1" applyAlignment="1" applyProtection="1">
      <protection hidden="1"/>
    </xf>
    <xf numFmtId="0" fontId="27" fillId="2" borderId="36" xfId="0" applyFont="1" applyFill="1" applyBorder="1" applyAlignment="1">
      <alignment horizontal="center" vertical="center"/>
    </xf>
    <xf numFmtId="0" fontId="27" fillId="2" borderId="11" xfId="0" applyFont="1" applyFill="1" applyBorder="1" applyAlignment="1">
      <alignment horizontal="center" vertical="center"/>
    </xf>
    <xf numFmtId="0" fontId="31" fillId="0" borderId="0" xfId="0" applyFont="1" applyFill="1" applyAlignment="1">
      <alignment horizontal="left" wrapText="1"/>
    </xf>
    <xf numFmtId="164" fontId="27" fillId="0" borderId="0" xfId="1" applyNumberFormat="1" applyFont="1" applyFill="1" applyBorder="1" applyAlignment="1" applyProtection="1">
      <alignment horizontal="center"/>
      <protection hidden="1"/>
    </xf>
    <xf numFmtId="0" fontId="27" fillId="0" borderId="30" xfId="0" applyFont="1" applyBorder="1" applyAlignment="1" applyProtection="1">
      <alignment horizontal="center" vertical="center" wrapText="1"/>
      <protection hidden="1"/>
    </xf>
    <xf numFmtId="0" fontId="27" fillId="0" borderId="32" xfId="0" applyFont="1" applyBorder="1" applyAlignment="1" applyProtection="1">
      <alignment horizontal="center" vertical="center" wrapText="1"/>
      <protection hidden="1"/>
    </xf>
    <xf numFmtId="0" fontId="27" fillId="0" borderId="31" xfId="0" applyFont="1" applyBorder="1" applyAlignment="1" applyProtection="1">
      <alignment horizontal="center" vertical="center" wrapText="1"/>
      <protection hidden="1"/>
    </xf>
    <xf numFmtId="0" fontId="27" fillId="0" borderId="33" xfId="0" applyFont="1" applyBorder="1" applyAlignment="1" applyProtection="1">
      <alignment horizontal="center" vertical="center" wrapText="1"/>
      <protection hidden="1"/>
    </xf>
    <xf numFmtId="0" fontId="27" fillId="0" borderId="21" xfId="0" applyFont="1" applyBorder="1" applyAlignment="1" applyProtection="1">
      <alignment horizontal="center" vertical="center" wrapText="1"/>
      <protection hidden="1"/>
    </xf>
    <xf numFmtId="0" fontId="27" fillId="0" borderId="22" xfId="0" applyFont="1" applyBorder="1" applyAlignment="1" applyProtection="1">
      <alignment horizontal="center" vertical="center" wrapText="1"/>
      <protection hidden="1"/>
    </xf>
    <xf numFmtId="0" fontId="27" fillId="0" borderId="4" xfId="0" applyFont="1" applyBorder="1" applyAlignment="1" applyProtection="1">
      <alignment horizontal="center" vertical="center" wrapText="1"/>
      <protection hidden="1"/>
    </xf>
    <xf numFmtId="0" fontId="29" fillId="0" borderId="8" xfId="0" applyFont="1" applyBorder="1"/>
    <xf numFmtId="0" fontId="27" fillId="0" borderId="5" xfId="0" applyFont="1" applyBorder="1" applyAlignment="1" applyProtection="1">
      <alignment horizontal="center" vertical="center"/>
      <protection hidden="1"/>
    </xf>
    <xf numFmtId="0" fontId="27" fillId="0" borderId="9" xfId="0" applyFont="1" applyBorder="1" applyAlignment="1" applyProtection="1">
      <alignment horizontal="center" vertical="center"/>
      <protection hidden="1"/>
    </xf>
    <xf numFmtId="0" fontId="27" fillId="0" borderId="6" xfId="0" applyFont="1" applyBorder="1" applyAlignment="1" applyProtection="1">
      <alignment horizontal="center"/>
    </xf>
    <xf numFmtId="0" fontId="27" fillId="0" borderId="7" xfId="0" applyFont="1" applyBorder="1" applyAlignment="1" applyProtection="1">
      <alignment horizontal="center"/>
    </xf>
    <xf numFmtId="0" fontId="28" fillId="0" borderId="0" xfId="0" applyFont="1" applyBorder="1" applyAlignment="1">
      <alignment horizontal="center"/>
    </xf>
    <xf numFmtId="0" fontId="36" fillId="0" borderId="0" xfId="0" applyFont="1" applyBorder="1" applyAlignment="1">
      <alignment horizontal="center"/>
    </xf>
    <xf numFmtId="164" fontId="27" fillId="26" borderId="0" xfId="1" applyNumberFormat="1" applyFont="1" applyFill="1" applyBorder="1" applyAlignment="1" applyProtection="1">
      <alignment horizontal="center"/>
      <protection hidden="1"/>
    </xf>
    <xf numFmtId="0" fontId="27" fillId="26" borderId="2" xfId="0" applyFont="1" applyFill="1" applyBorder="1" applyAlignment="1" applyProtection="1">
      <alignment horizontal="center" vertical="center" wrapText="1"/>
      <protection hidden="1"/>
    </xf>
    <xf numFmtId="0" fontId="27" fillId="26" borderId="6" xfId="0" applyFont="1" applyFill="1" applyBorder="1" applyAlignment="1" applyProtection="1">
      <alignment horizontal="center" vertical="center" wrapText="1"/>
      <protection hidden="1"/>
    </xf>
    <xf numFmtId="0" fontId="27" fillId="26" borderId="27" xfId="0" applyFont="1" applyFill="1" applyBorder="1" applyAlignment="1" applyProtection="1">
      <alignment horizontal="center" vertical="center" wrapText="1"/>
      <protection hidden="1"/>
    </xf>
    <xf numFmtId="0" fontId="27" fillId="26" borderId="28" xfId="0" applyFont="1" applyFill="1" applyBorder="1" applyAlignment="1" applyProtection="1">
      <alignment horizontal="center" vertical="center" wrapText="1"/>
      <protection hidden="1"/>
    </xf>
    <xf numFmtId="0" fontId="27" fillId="26" borderId="3" xfId="0" applyFont="1" applyFill="1" applyBorder="1" applyAlignment="1" applyProtection="1">
      <alignment horizontal="center" vertical="center" wrapText="1"/>
      <protection hidden="1"/>
    </xf>
    <xf numFmtId="0" fontId="27" fillId="26" borderId="7" xfId="0" applyFont="1" applyFill="1" applyBorder="1" applyAlignment="1" applyProtection="1">
      <alignment horizontal="center" vertical="center" wrapText="1"/>
      <protection hidden="1"/>
    </xf>
    <xf numFmtId="0" fontId="27" fillId="26" borderId="4" xfId="0" applyFont="1" applyFill="1" applyBorder="1" applyAlignment="1" applyProtection="1">
      <alignment horizontal="center" vertical="center" wrapText="1"/>
      <protection hidden="1"/>
    </xf>
    <xf numFmtId="0" fontId="29" fillId="26" borderId="8" xfId="0" applyFont="1" applyFill="1" applyBorder="1"/>
    <xf numFmtId="0" fontId="27" fillId="26" borderId="5" xfId="0" applyFont="1" applyFill="1" applyBorder="1" applyAlignment="1" applyProtection="1">
      <alignment horizontal="center" vertical="center"/>
      <protection hidden="1"/>
    </xf>
    <xf numFmtId="0" fontId="27" fillId="26" borderId="9" xfId="0" applyFont="1" applyFill="1" applyBorder="1" applyAlignment="1" applyProtection="1">
      <alignment horizontal="center" vertical="center"/>
      <protection hidden="1"/>
    </xf>
    <xf numFmtId="0" fontId="27" fillId="26" borderId="10" xfId="0" applyFont="1" applyFill="1" applyBorder="1" applyAlignment="1" applyProtection="1">
      <alignment horizontal="center"/>
    </xf>
    <xf numFmtId="0" fontId="27" fillId="0" borderId="5" xfId="0" applyFont="1" applyBorder="1" applyAlignment="1" applyProtection="1">
      <alignment horizontal="center"/>
      <protection hidden="1"/>
    </xf>
    <xf numFmtId="0" fontId="27" fillId="0" borderId="9" xfId="0" applyFont="1" applyBorder="1" applyAlignment="1" applyProtection="1">
      <alignment horizontal="center"/>
      <protection hidden="1"/>
    </xf>
    <xf numFmtId="0" fontId="27" fillId="0" borderId="24" xfId="0" applyFont="1" applyBorder="1" applyAlignment="1" applyProtection="1">
      <alignment horizontal="center"/>
    </xf>
    <xf numFmtId="0" fontId="27" fillId="0" borderId="25" xfId="0" applyFont="1" applyBorder="1" applyAlignment="1" applyProtection="1">
      <alignment horizontal="center"/>
    </xf>
    <xf numFmtId="0" fontId="27" fillId="0" borderId="21" xfId="0" applyFont="1" applyBorder="1" applyAlignment="1" applyProtection="1">
      <alignment horizontal="center" wrapText="1"/>
      <protection hidden="1"/>
    </xf>
    <xf numFmtId="0" fontId="27" fillId="0" borderId="22" xfId="0" applyFont="1" applyBorder="1" applyAlignment="1" applyProtection="1">
      <alignment horizontal="center" wrapText="1"/>
      <protection hidden="1"/>
    </xf>
    <xf numFmtId="0" fontId="27" fillId="0" borderId="4" xfId="0" applyFont="1" applyBorder="1" applyAlignment="1" applyProtection="1">
      <alignment horizontal="center" wrapText="1"/>
      <protection hidden="1"/>
    </xf>
    <xf numFmtId="0" fontId="29" fillId="0" borderId="8" xfId="0" applyFont="1" applyBorder="1" applyAlignment="1"/>
    <xf numFmtId="0" fontId="27" fillId="0" borderId="2" xfId="0" applyFont="1" applyBorder="1" applyAlignment="1" applyProtection="1">
      <alignment horizontal="center" vertical="center" wrapText="1"/>
      <protection hidden="1"/>
    </xf>
    <xf numFmtId="0" fontId="27" fillId="0" borderId="6" xfId="0" applyFont="1" applyBorder="1" applyAlignment="1" applyProtection="1">
      <alignment horizontal="center" vertical="center" wrapText="1"/>
      <protection hidden="1"/>
    </xf>
    <xf numFmtId="0" fontId="27" fillId="0" borderId="3" xfId="0" applyFont="1" applyBorder="1" applyAlignment="1" applyProtection="1">
      <alignment horizontal="center" vertical="center" wrapText="1"/>
      <protection hidden="1"/>
    </xf>
    <xf numFmtId="0" fontId="27" fillId="0" borderId="7" xfId="0" applyFont="1" applyBorder="1" applyAlignment="1" applyProtection="1">
      <alignment horizontal="center" vertical="center" wrapText="1"/>
      <protection hidden="1"/>
    </xf>
    <xf numFmtId="0" fontId="27" fillId="0" borderId="10" xfId="0" applyFont="1" applyBorder="1" applyAlignment="1" applyProtection="1">
      <alignment horizontal="center"/>
    </xf>
  </cellXfs>
  <cellStyles count="307">
    <cellStyle name="20% - Accent1 2" xfId="3"/>
    <cellStyle name="20% - Accent1 3" xfId="4"/>
    <cellStyle name="20% - Accent1 4" xfId="5"/>
    <cellStyle name="20% - Accent1 5" xfId="6"/>
    <cellStyle name="20% - Accent1 6" xfId="7"/>
    <cellStyle name="20% - Accent2 2" xfId="8"/>
    <cellStyle name="20% - Accent2 3" xfId="9"/>
    <cellStyle name="20% - Accent2 4" xfId="10"/>
    <cellStyle name="20% - Accent2 5" xfId="11"/>
    <cellStyle name="20% - Accent2 6" xfId="12"/>
    <cellStyle name="20% - Accent3 2" xfId="13"/>
    <cellStyle name="20% - Accent3 3" xfId="14"/>
    <cellStyle name="20% - Accent3 4" xfId="15"/>
    <cellStyle name="20% - Accent3 5" xfId="16"/>
    <cellStyle name="20% - Accent3 6" xfId="17"/>
    <cellStyle name="20% - Accent4 2" xfId="18"/>
    <cellStyle name="20% - Accent4 3" xfId="19"/>
    <cellStyle name="20% - Accent4 4" xfId="20"/>
    <cellStyle name="20% - Accent4 5" xfId="21"/>
    <cellStyle name="20% - Accent4 6" xfId="22"/>
    <cellStyle name="20% - Accent5 2" xfId="23"/>
    <cellStyle name="20% - Accent5 3" xfId="24"/>
    <cellStyle name="20% - Accent5 4" xfId="25"/>
    <cellStyle name="20% - Accent5 5" xfId="26"/>
    <cellStyle name="20% - Accent5 6" xfId="27"/>
    <cellStyle name="20% - Accent6 2" xfId="28"/>
    <cellStyle name="20% - Accent6 3" xfId="29"/>
    <cellStyle name="20% - Accent6 4" xfId="30"/>
    <cellStyle name="20% - Accent6 5" xfId="31"/>
    <cellStyle name="20% - Accent6 6" xfId="32"/>
    <cellStyle name="40% - Accent1 2" xfId="33"/>
    <cellStyle name="40% - Accent1 3" xfId="34"/>
    <cellStyle name="40% - Accent1 4" xfId="35"/>
    <cellStyle name="40% - Accent1 5" xfId="36"/>
    <cellStyle name="40% - Accent1 6" xfId="37"/>
    <cellStyle name="40% - Accent2 2" xfId="38"/>
    <cellStyle name="40% - Accent2 3" xfId="39"/>
    <cellStyle name="40% - Accent2 4" xfId="40"/>
    <cellStyle name="40% - Accent2 5" xfId="41"/>
    <cellStyle name="40% - Accent2 6" xfId="42"/>
    <cellStyle name="40% - Accent3 2" xfId="43"/>
    <cellStyle name="40% - Accent3 3" xfId="44"/>
    <cellStyle name="40% - Accent3 4" xfId="45"/>
    <cellStyle name="40% - Accent3 5" xfId="46"/>
    <cellStyle name="40% - Accent3 6" xfId="47"/>
    <cellStyle name="40% - Accent4 2" xfId="48"/>
    <cellStyle name="40% - Accent4 3" xfId="49"/>
    <cellStyle name="40% - Accent4 4" xfId="50"/>
    <cellStyle name="40% - Accent4 5" xfId="51"/>
    <cellStyle name="40% - Accent4 6" xfId="52"/>
    <cellStyle name="40% - Accent5 2" xfId="53"/>
    <cellStyle name="40% - Accent5 3" xfId="54"/>
    <cellStyle name="40% - Accent5 4" xfId="55"/>
    <cellStyle name="40% - Accent5 5" xfId="56"/>
    <cellStyle name="40% - Accent5 6" xfId="57"/>
    <cellStyle name="40% - Accent6 2" xfId="58"/>
    <cellStyle name="40% - Accent6 3" xfId="59"/>
    <cellStyle name="40% - Accent6 4" xfId="60"/>
    <cellStyle name="40% - Accent6 5" xfId="61"/>
    <cellStyle name="40% - Accent6 6" xfId="62"/>
    <cellStyle name="60% - Accent1 2" xfId="63"/>
    <cellStyle name="60% - Accent1 3" xfId="64"/>
    <cellStyle name="60% - Accent1 4" xfId="65"/>
    <cellStyle name="60% - Accent1 5" xfId="66"/>
    <cellStyle name="60% - Accent1 6" xfId="67"/>
    <cellStyle name="60% - Accent2 2" xfId="68"/>
    <cellStyle name="60% - Accent2 3" xfId="69"/>
    <cellStyle name="60% - Accent2 4" xfId="70"/>
    <cellStyle name="60% - Accent2 5" xfId="71"/>
    <cellStyle name="60% - Accent2 6" xfId="72"/>
    <cellStyle name="60% - Accent3 2" xfId="73"/>
    <cellStyle name="60% - Accent3 3" xfId="74"/>
    <cellStyle name="60% - Accent3 4" xfId="75"/>
    <cellStyle name="60% - Accent3 5" xfId="76"/>
    <cellStyle name="60% - Accent3 6" xfId="77"/>
    <cellStyle name="60% - Accent4 2" xfId="78"/>
    <cellStyle name="60% - Accent4 3" xfId="79"/>
    <cellStyle name="60% - Accent4 4" xfId="80"/>
    <cellStyle name="60% - Accent4 5" xfId="81"/>
    <cellStyle name="60% - Accent4 6" xfId="82"/>
    <cellStyle name="60% - Accent5 2" xfId="83"/>
    <cellStyle name="60% - Accent5 3" xfId="84"/>
    <cellStyle name="60% - Accent5 4" xfId="85"/>
    <cellStyle name="60% - Accent5 5" xfId="86"/>
    <cellStyle name="60% - Accent5 6" xfId="87"/>
    <cellStyle name="60% - Accent6 2" xfId="88"/>
    <cellStyle name="60% - Accent6 3" xfId="89"/>
    <cellStyle name="60% - Accent6 4" xfId="90"/>
    <cellStyle name="60% - Accent6 5" xfId="91"/>
    <cellStyle name="60% - Accent6 6" xfId="92"/>
    <cellStyle name="Accent1 2" xfId="93"/>
    <cellStyle name="Accent1 3" xfId="94"/>
    <cellStyle name="Accent1 4" xfId="95"/>
    <cellStyle name="Accent1 5" xfId="96"/>
    <cellStyle name="Accent1 6" xfId="97"/>
    <cellStyle name="Accent2 2" xfId="98"/>
    <cellStyle name="Accent2 3" xfId="99"/>
    <cellStyle name="Accent2 4" xfId="100"/>
    <cellStyle name="Accent2 5" xfId="101"/>
    <cellStyle name="Accent2 6" xfId="102"/>
    <cellStyle name="Accent3 2" xfId="103"/>
    <cellStyle name="Accent3 3" xfId="104"/>
    <cellStyle name="Accent3 4" xfId="105"/>
    <cellStyle name="Accent3 5" xfId="106"/>
    <cellStyle name="Accent3 6" xfId="107"/>
    <cellStyle name="Accent4 2" xfId="108"/>
    <cellStyle name="Accent4 3" xfId="109"/>
    <cellStyle name="Accent4 4" xfId="110"/>
    <cellStyle name="Accent4 5" xfId="111"/>
    <cellStyle name="Accent4 6" xfId="112"/>
    <cellStyle name="Accent5 2" xfId="113"/>
    <cellStyle name="Accent5 3" xfId="114"/>
    <cellStyle name="Accent5 4" xfId="115"/>
    <cellStyle name="Accent5 5" xfId="116"/>
    <cellStyle name="Accent5 6" xfId="117"/>
    <cellStyle name="Accent6 2" xfId="118"/>
    <cellStyle name="Accent6 3" xfId="119"/>
    <cellStyle name="Accent6 4" xfId="120"/>
    <cellStyle name="Accent6 5" xfId="121"/>
    <cellStyle name="Accent6 6" xfId="122"/>
    <cellStyle name="Bad 2" xfId="123"/>
    <cellStyle name="Bad 3" xfId="124"/>
    <cellStyle name="Bad 4" xfId="125"/>
    <cellStyle name="Bad 5" xfId="126"/>
    <cellStyle name="Bad 6" xfId="127"/>
    <cellStyle name="Calculation 2" xfId="128"/>
    <cellStyle name="Calculation 3" xfId="129"/>
    <cellStyle name="Calculation 4" xfId="130"/>
    <cellStyle name="Calculation 5" xfId="131"/>
    <cellStyle name="Calculation 6" xfId="132"/>
    <cellStyle name="Check Cell 2" xfId="133"/>
    <cellStyle name="Check Cell 2 2" xfId="134"/>
    <cellStyle name="Check Cell 2 2 2" xfId="135"/>
    <cellStyle name="Check Cell 2 2 2 2" xfId="136"/>
    <cellStyle name="Check Cell 2 2 2 2 2" xfId="137"/>
    <cellStyle name="Check Cell 2 2 2 3" xfId="138"/>
    <cellStyle name="Check Cell 2 2 3" xfId="139"/>
    <cellStyle name="Check Cell 2 2 3 2" xfId="140"/>
    <cellStyle name="Check Cell 2 2 4" xfId="141"/>
    <cellStyle name="Check Cell 2 3" xfId="142"/>
    <cellStyle name="Check Cell 2 3 2" xfId="143"/>
    <cellStyle name="Check Cell 2 3 2 2" xfId="144"/>
    <cellStyle name="Check Cell 2 3 3" xfId="145"/>
    <cellStyle name="Check Cell 2 4" xfId="146"/>
    <cellStyle name="Check Cell 2 4 2" xfId="147"/>
    <cellStyle name="Check Cell 2 5" xfId="148"/>
    <cellStyle name="Check Cell 3" xfId="149"/>
    <cellStyle name="Check Cell 3 2" xfId="150"/>
    <cellStyle name="Check Cell 3 2 2" xfId="151"/>
    <cellStyle name="Check Cell 3 2 2 2" xfId="152"/>
    <cellStyle name="Check Cell 3 2 2 2 2" xfId="153"/>
    <cellStyle name="Check Cell 3 2 2 3" xfId="154"/>
    <cellStyle name="Check Cell 3 2 3" xfId="155"/>
    <cellStyle name="Check Cell 3 2 3 2" xfId="156"/>
    <cellStyle name="Check Cell 3 2 4" xfId="157"/>
    <cellStyle name="Check Cell 3 3" xfId="158"/>
    <cellStyle name="Check Cell 3 3 2" xfId="159"/>
    <cellStyle name="Check Cell 3 3 2 2" xfId="160"/>
    <cellStyle name="Check Cell 3 3 3" xfId="161"/>
    <cellStyle name="Check Cell 3 4" xfId="162"/>
    <cellStyle name="Check Cell 3 4 2" xfId="163"/>
    <cellStyle name="Check Cell 3 5" xfId="164"/>
    <cellStyle name="Check Cell 4" xfId="165"/>
    <cellStyle name="Check Cell 4 2" xfId="166"/>
    <cellStyle name="Check Cell 4 2 2" xfId="167"/>
    <cellStyle name="Check Cell 4 2 2 2" xfId="168"/>
    <cellStyle name="Check Cell 4 2 2 2 2" xfId="169"/>
    <cellStyle name="Check Cell 4 2 2 3" xfId="170"/>
    <cellStyle name="Check Cell 4 2 3" xfId="171"/>
    <cellStyle name="Check Cell 4 2 3 2" xfId="172"/>
    <cellStyle name="Check Cell 4 2 4" xfId="173"/>
    <cellStyle name="Check Cell 4 3" xfId="174"/>
    <cellStyle name="Check Cell 4 3 2" xfId="175"/>
    <cellStyle name="Check Cell 4 3 2 2" xfId="176"/>
    <cellStyle name="Check Cell 4 3 3" xfId="177"/>
    <cellStyle name="Check Cell 4 4" xfId="178"/>
    <cellStyle name="Check Cell 4 4 2" xfId="179"/>
    <cellStyle name="Check Cell 4 5" xfId="180"/>
    <cellStyle name="Check Cell 5" xfId="181"/>
    <cellStyle name="Check Cell 5 2" xfId="182"/>
    <cellStyle name="Check Cell 5 2 2" xfId="183"/>
    <cellStyle name="Check Cell 5 2 2 2" xfId="184"/>
    <cellStyle name="Check Cell 5 2 2 2 2" xfId="185"/>
    <cellStyle name="Check Cell 5 2 2 3" xfId="186"/>
    <cellStyle name="Check Cell 5 2 3" xfId="187"/>
    <cellStyle name="Check Cell 5 2 3 2" xfId="188"/>
    <cellStyle name="Check Cell 5 2 4" xfId="189"/>
    <cellStyle name="Check Cell 5 3" xfId="190"/>
    <cellStyle name="Check Cell 5 3 2" xfId="191"/>
    <cellStyle name="Check Cell 5 3 2 2" xfId="192"/>
    <cellStyle name="Check Cell 5 3 3" xfId="193"/>
    <cellStyle name="Check Cell 5 4" xfId="194"/>
    <cellStyle name="Check Cell 5 4 2" xfId="195"/>
    <cellStyle name="Check Cell 5 5" xfId="196"/>
    <cellStyle name="Check Cell 6" xfId="197"/>
    <cellStyle name="Check Cell 6 2" xfId="198"/>
    <cellStyle name="Check Cell 6 2 2" xfId="199"/>
    <cellStyle name="Check Cell 6 2 2 2" xfId="200"/>
    <cellStyle name="Check Cell 6 2 2 2 2" xfId="201"/>
    <cellStyle name="Check Cell 6 2 2 3" xfId="202"/>
    <cellStyle name="Check Cell 6 2 3" xfId="203"/>
    <cellStyle name="Check Cell 6 2 3 2" xfId="204"/>
    <cellStyle name="Check Cell 6 2 4" xfId="205"/>
    <cellStyle name="Check Cell 6 3" xfId="206"/>
    <cellStyle name="Check Cell 6 3 2" xfId="207"/>
    <cellStyle name="Check Cell 6 3 2 2" xfId="208"/>
    <cellStyle name="Check Cell 6 3 3" xfId="209"/>
    <cellStyle name="Check Cell 6 4" xfId="210"/>
    <cellStyle name="Check Cell 6 4 2" xfId="211"/>
    <cellStyle name="Check Cell 6 5" xfId="212"/>
    <cellStyle name="Comma" xfId="1" builtinId="3"/>
    <cellStyle name="Comma 2" xfId="2"/>
    <cellStyle name="Comma 2 2" xfId="213"/>
    <cellStyle name="Comma 2 3" xfId="214"/>
    <cellStyle name="Comma 2 4" xfId="215"/>
    <cellStyle name="Comma 2 5" xfId="216"/>
    <cellStyle name="Comma 2 6" xfId="217"/>
    <cellStyle name="Comma 3" xfId="218"/>
    <cellStyle name="Comma 3 2" xfId="219"/>
    <cellStyle name="Comma 3 3" xfId="220"/>
    <cellStyle name="Explanatory Text 2" xfId="221"/>
    <cellStyle name="Explanatory Text 3" xfId="222"/>
    <cellStyle name="Explanatory Text 4" xfId="223"/>
    <cellStyle name="Explanatory Text 5" xfId="224"/>
    <cellStyle name="Explanatory Text 6" xfId="225"/>
    <cellStyle name="Good 2" xfId="226"/>
    <cellStyle name="Good 3" xfId="227"/>
    <cellStyle name="Good 4" xfId="228"/>
    <cellStyle name="Good 5" xfId="229"/>
    <cellStyle name="Good 6" xfId="230"/>
    <cellStyle name="Heading 1 2" xfId="231"/>
    <cellStyle name="Heading 1 3" xfId="232"/>
    <cellStyle name="Heading 1 4" xfId="233"/>
    <cellStyle name="Heading 1 5" xfId="234"/>
    <cellStyle name="Heading 1 6" xfId="235"/>
    <cellStyle name="Heading 2 2" xfId="236"/>
    <cellStyle name="Heading 2 3" xfId="237"/>
    <cellStyle name="Heading 2 4" xfId="238"/>
    <cellStyle name="Heading 2 5" xfId="239"/>
    <cellStyle name="Heading 2 6" xfId="240"/>
    <cellStyle name="Heading 3 2" xfId="241"/>
    <cellStyle name="Heading 3 3" xfId="242"/>
    <cellStyle name="Heading 3 4" xfId="243"/>
    <cellStyle name="Heading 3 5" xfId="244"/>
    <cellStyle name="Heading 3 6" xfId="245"/>
    <cellStyle name="Heading 4 2" xfId="246"/>
    <cellStyle name="Heading 4 3" xfId="247"/>
    <cellStyle name="Heading 4 4" xfId="248"/>
    <cellStyle name="Heading 4 5" xfId="249"/>
    <cellStyle name="Heading 4 6" xfId="250"/>
    <cellStyle name="Input 2" xfId="251"/>
    <cellStyle name="Input 3" xfId="252"/>
    <cellStyle name="Input 4" xfId="253"/>
    <cellStyle name="Input 5" xfId="254"/>
    <cellStyle name="Input 6" xfId="255"/>
    <cellStyle name="Linked Cell 2" xfId="256"/>
    <cellStyle name="Linked Cell 3" xfId="257"/>
    <cellStyle name="Linked Cell 4" xfId="258"/>
    <cellStyle name="Linked Cell 5" xfId="259"/>
    <cellStyle name="Linked Cell 6" xfId="260"/>
    <cellStyle name="Neutral 2" xfId="261"/>
    <cellStyle name="Neutral 3" xfId="262"/>
    <cellStyle name="Neutral 4" xfId="263"/>
    <cellStyle name="Neutral 5" xfId="264"/>
    <cellStyle name="Neutral 6" xfId="265"/>
    <cellStyle name="Normal" xfId="0" builtinId="0"/>
    <cellStyle name="Normal 10" xfId="266"/>
    <cellStyle name="Normal 2" xfId="267"/>
    <cellStyle name="Normal 2 2" xfId="268"/>
    <cellStyle name="Normal 2 3" xfId="269"/>
    <cellStyle name="Normal 2 4" xfId="270"/>
    <cellStyle name="Normal 2 5" xfId="271"/>
    <cellStyle name="Normal 2 6" xfId="272"/>
    <cellStyle name="Normal 2 7" xfId="273"/>
    <cellStyle name="Normal 3" xfId="274"/>
    <cellStyle name="Normal 3 2" xfId="275"/>
    <cellStyle name="Normal 4" xfId="276"/>
    <cellStyle name="Normal 5" xfId="277"/>
    <cellStyle name="Normal 6" xfId="278"/>
    <cellStyle name="Normal 7" xfId="279"/>
    <cellStyle name="Normal 8" xfId="280"/>
    <cellStyle name="Note 2" xfId="281"/>
    <cellStyle name="Note 3" xfId="282"/>
    <cellStyle name="Note 4" xfId="283"/>
    <cellStyle name="Note 5" xfId="284"/>
    <cellStyle name="Note 6" xfId="285"/>
    <cellStyle name="Output 2" xfId="286"/>
    <cellStyle name="Output 3" xfId="287"/>
    <cellStyle name="Output 4" xfId="288"/>
    <cellStyle name="Output 5" xfId="289"/>
    <cellStyle name="Output 6" xfId="290"/>
    <cellStyle name="Style 1" xfId="291"/>
    <cellStyle name="Title 2" xfId="292"/>
    <cellStyle name="Title 3" xfId="293"/>
    <cellStyle name="Title 4" xfId="294"/>
    <cellStyle name="Title 5" xfId="295"/>
    <cellStyle name="Title 6" xfId="296"/>
    <cellStyle name="Total 2" xfId="297"/>
    <cellStyle name="Total 3" xfId="298"/>
    <cellStyle name="Total 4" xfId="299"/>
    <cellStyle name="Total 5" xfId="300"/>
    <cellStyle name="Total 6" xfId="301"/>
    <cellStyle name="Warning Text 2" xfId="302"/>
    <cellStyle name="Warning Text 3" xfId="303"/>
    <cellStyle name="Warning Text 4" xfId="304"/>
    <cellStyle name="Warning Text 5" xfId="305"/>
    <cellStyle name="Warning Text 6" xfId="3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16069</xdr:colOff>
      <xdr:row>0</xdr:row>
      <xdr:rowOff>38100</xdr:rowOff>
    </xdr:from>
    <xdr:to>
      <xdr:col>1</xdr:col>
      <xdr:colOff>742949</xdr:colOff>
      <xdr:row>5</xdr:row>
      <xdr:rowOff>57150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069" y="38100"/>
          <a:ext cx="1727005" cy="9715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2922</xdr:colOff>
      <xdr:row>47</xdr:row>
      <xdr:rowOff>139853</xdr:rowOff>
    </xdr:from>
    <xdr:to>
      <xdr:col>1</xdr:col>
      <xdr:colOff>310379</xdr:colOff>
      <xdr:row>51</xdr:row>
      <xdr:rowOff>165499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22" y="139853"/>
          <a:ext cx="1307582" cy="78764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400050</xdr:colOff>
      <xdr:row>2</xdr:row>
      <xdr:rowOff>57151</xdr:rowOff>
    </xdr:from>
    <xdr:to>
      <xdr:col>1</xdr:col>
      <xdr:colOff>389935</xdr:colOff>
      <xdr:row>5</xdr:row>
      <xdr:rowOff>161925</xdr:rowOff>
    </xdr:to>
    <xdr:pic>
      <xdr:nvPicPr>
        <xdr:cNvPr id="6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00050" y="438151"/>
          <a:ext cx="990010" cy="67627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9526</xdr:rowOff>
    </xdr:from>
    <xdr:to>
      <xdr:col>1</xdr:col>
      <xdr:colOff>323850</xdr:colOff>
      <xdr:row>5</xdr:row>
      <xdr:rowOff>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9526"/>
          <a:ext cx="1381125" cy="94297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28576</xdr:rowOff>
    </xdr:from>
    <xdr:to>
      <xdr:col>1</xdr:col>
      <xdr:colOff>295275</xdr:colOff>
      <xdr:row>5</xdr:row>
      <xdr:rowOff>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576"/>
          <a:ext cx="1352550" cy="92392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19049</xdr:colOff>
      <xdr:row>0</xdr:row>
      <xdr:rowOff>9525</xdr:rowOff>
    </xdr:from>
    <xdr:to>
      <xdr:col>1</xdr:col>
      <xdr:colOff>457200</xdr:colOff>
      <xdr:row>5</xdr:row>
      <xdr:rowOff>19050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49" y="9525"/>
          <a:ext cx="1390651" cy="9620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16452</xdr:colOff>
      <xdr:row>71</xdr:row>
      <xdr:rowOff>114930</xdr:rowOff>
    </xdr:from>
    <xdr:to>
      <xdr:col>1</xdr:col>
      <xdr:colOff>51089</xdr:colOff>
      <xdr:row>77</xdr:row>
      <xdr:rowOff>93755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52" y="114930"/>
          <a:ext cx="987137" cy="6932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180976</xdr:rowOff>
    </xdr:from>
    <xdr:to>
      <xdr:col>1</xdr:col>
      <xdr:colOff>447675</xdr:colOff>
      <xdr:row>5</xdr:row>
      <xdr:rowOff>152400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80976"/>
          <a:ext cx="1352550" cy="92392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2922</xdr:colOff>
      <xdr:row>34</xdr:row>
      <xdr:rowOff>139853</xdr:rowOff>
    </xdr:from>
    <xdr:to>
      <xdr:col>1</xdr:col>
      <xdr:colOff>310379</xdr:colOff>
      <xdr:row>38</xdr:row>
      <xdr:rowOff>165499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22" y="6616853"/>
          <a:ext cx="1307582" cy="78764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0</xdr:row>
      <xdr:rowOff>180976</xdr:rowOff>
    </xdr:from>
    <xdr:to>
      <xdr:col>1</xdr:col>
      <xdr:colOff>352425</xdr:colOff>
      <xdr:row>5</xdr:row>
      <xdr:rowOff>152400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80976"/>
          <a:ext cx="1352550" cy="92392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workbookViewId="0">
      <selection activeCell="C15" sqref="C15"/>
    </sheetView>
  </sheetViews>
  <sheetFormatPr defaultRowHeight="12.75"/>
  <cols>
    <col min="1" max="1" width="41.42578125" style="97" customWidth="1"/>
    <col min="2" max="3" width="22.140625" style="97" customWidth="1"/>
    <col min="4" max="4" width="41.42578125" style="97" customWidth="1"/>
    <col min="5" max="6" width="22.140625" style="97" customWidth="1"/>
    <col min="7" max="8" width="49.140625" style="97" customWidth="1"/>
    <col min="9" max="16384" width="9.140625" style="97"/>
  </cols>
  <sheetData>
    <row r="1" spans="1:8">
      <c r="A1" s="400" t="s">
        <v>219</v>
      </c>
      <c r="B1" s="266" t="s">
        <v>220</v>
      </c>
      <c r="C1" s="267" t="s">
        <v>220</v>
      </c>
      <c r="D1" s="385"/>
      <c r="E1" s="400" t="s">
        <v>221</v>
      </c>
      <c r="F1" s="400" t="s">
        <v>315</v>
      </c>
      <c r="G1" s="400" t="s">
        <v>222</v>
      </c>
      <c r="H1" s="400" t="s">
        <v>223</v>
      </c>
    </row>
    <row r="2" spans="1:8">
      <c r="A2" s="401"/>
      <c r="B2" s="268" t="s">
        <v>1</v>
      </c>
      <c r="C2" s="269" t="s">
        <v>224</v>
      </c>
      <c r="D2" s="386" t="s">
        <v>366</v>
      </c>
      <c r="E2" s="401"/>
      <c r="F2" s="401"/>
      <c r="G2" s="401"/>
      <c r="H2" s="401"/>
    </row>
    <row r="3" spans="1:8">
      <c r="A3" s="78" t="str">
        <f>'U Bo Lwin (STW)'!B8</f>
        <v>BO LWIN</v>
      </c>
      <c r="B3" s="41">
        <f>'U Bo Lwin (STW)'!E12+'U Bo Lwin (STW)'!E13</f>
        <v>0</v>
      </c>
      <c r="C3" s="270"/>
      <c r="D3" s="387"/>
      <c r="E3" s="196" t="s">
        <v>296</v>
      </c>
      <c r="F3" s="271" t="s">
        <v>325</v>
      </c>
      <c r="G3" s="78" t="s">
        <v>305</v>
      </c>
      <c r="H3" s="78" t="s">
        <v>306</v>
      </c>
    </row>
    <row r="4" spans="1:8">
      <c r="A4" s="271"/>
      <c r="B4" s="272"/>
      <c r="C4" s="270"/>
      <c r="D4" s="271"/>
      <c r="E4" s="271"/>
      <c r="F4" s="271"/>
      <c r="G4" s="271"/>
      <c r="H4" s="271"/>
    </row>
    <row r="5" spans="1:8">
      <c r="A5" s="78" t="str">
        <f>'Than Naing &amp; Family Cons;'!B8</f>
        <v>THAN NAING &amp; FAMILY CONSTRUCTION</v>
      </c>
      <c r="B5" s="41">
        <f>'Than Naing &amp; Family Cons;'!E12+'Than Naing &amp; Family Cons;'!E13</f>
        <v>0</v>
      </c>
      <c r="C5" s="78"/>
      <c r="D5" s="387"/>
      <c r="E5" s="78" t="s">
        <v>227</v>
      </c>
      <c r="F5" s="78"/>
      <c r="G5" s="78" t="s">
        <v>225</v>
      </c>
      <c r="H5" s="78" t="s">
        <v>226</v>
      </c>
    </row>
    <row r="6" spans="1:8">
      <c r="A6" s="78"/>
      <c r="B6" s="41"/>
      <c r="C6" s="78"/>
      <c r="D6" s="387"/>
      <c r="E6" s="78"/>
      <c r="F6" s="78"/>
      <c r="G6" s="78"/>
      <c r="H6" s="78"/>
    </row>
    <row r="7" spans="1:8">
      <c r="A7" s="78" t="str">
        <f>'Kyaw Min Tun'!B54</f>
        <v>KYAW MIN TUN, U (STW)</v>
      </c>
      <c r="B7" s="41">
        <f>'Kyaw Min Tun'!E12+'Kyaw Min Tun'!E13</f>
        <v>0</v>
      </c>
      <c r="C7" s="78"/>
      <c r="D7" s="387" t="s">
        <v>367</v>
      </c>
      <c r="E7" s="78" t="s">
        <v>81</v>
      </c>
      <c r="F7" s="271" t="s">
        <v>325</v>
      </c>
      <c r="G7" s="78" t="s">
        <v>228</v>
      </c>
      <c r="H7" s="78" t="s">
        <v>229</v>
      </c>
    </row>
    <row r="8" spans="1:8">
      <c r="A8" s="78"/>
      <c r="B8" s="41"/>
      <c r="C8" s="78"/>
      <c r="D8" s="387"/>
      <c r="E8" s="78"/>
      <c r="F8" s="78"/>
      <c r="G8" s="78"/>
      <c r="H8" s="78"/>
    </row>
    <row r="9" spans="1:8">
      <c r="A9" s="78" t="str">
        <f>'San Thar Tun (STW)'!B8</f>
        <v>SAN THAR HTUN, U</v>
      </c>
      <c r="B9" s="41">
        <f>'San Thar Tun (STW)'!E12+'San Thar Tun (STW)'!E13</f>
        <v>0</v>
      </c>
      <c r="C9" s="78"/>
      <c r="D9" s="387"/>
      <c r="E9" s="78" t="s">
        <v>232</v>
      </c>
      <c r="F9" s="78"/>
      <c r="G9" s="78" t="s">
        <v>230</v>
      </c>
      <c r="H9" s="78" t="s">
        <v>231</v>
      </c>
    </row>
    <row r="10" spans="1:8">
      <c r="A10" s="78"/>
      <c r="B10" s="41"/>
      <c r="C10" s="78"/>
      <c r="D10" s="387"/>
      <c r="E10" s="78"/>
      <c r="F10" s="78"/>
      <c r="G10" s="78"/>
      <c r="H10" s="78"/>
    </row>
    <row r="11" spans="1:8">
      <c r="A11" s="78" t="str">
        <f>'Chaw Su '!B7</f>
        <v>CHAW SU CONSTRUCTION CO.,LTD (STW)</v>
      </c>
      <c r="B11" s="41">
        <f>'Chaw Su '!E11+'Chaw Su '!E12</f>
        <v>0</v>
      </c>
      <c r="C11" s="78"/>
      <c r="D11" s="387"/>
      <c r="E11" s="78" t="s">
        <v>232</v>
      </c>
      <c r="F11" s="78"/>
      <c r="G11" s="78" t="s">
        <v>233</v>
      </c>
      <c r="H11" s="78" t="s">
        <v>234</v>
      </c>
    </row>
    <row r="12" spans="1:8">
      <c r="A12" s="340"/>
      <c r="B12" s="340"/>
      <c r="C12" s="340"/>
      <c r="D12" s="387"/>
      <c r="E12" s="340"/>
      <c r="F12" s="340"/>
      <c r="G12" s="340"/>
      <c r="H12" s="340"/>
    </row>
    <row r="14" spans="1:8" ht="13.5" thickBot="1">
      <c r="B14" s="273">
        <f>SUM(B3:B12)</f>
        <v>0</v>
      </c>
      <c r="C14" s="274"/>
    </row>
    <row r="15" spans="1:8" ht="13.5" thickTop="1"/>
  </sheetData>
  <mergeCells count="5">
    <mergeCell ref="A1:A2"/>
    <mergeCell ref="E1:E2"/>
    <mergeCell ref="F1:F2"/>
    <mergeCell ref="G1:G2"/>
    <mergeCell ref="H1:H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W118"/>
  <sheetViews>
    <sheetView topLeftCell="A12" zoomScaleNormal="100" workbookViewId="0">
      <selection activeCell="B28" sqref="B28"/>
    </sheetView>
  </sheetViews>
  <sheetFormatPr defaultRowHeight="15" customHeight="1"/>
  <cols>
    <col min="1" max="1" width="15" style="4" customWidth="1"/>
    <col min="2" max="2" width="97.85546875" style="4" customWidth="1"/>
    <col min="3" max="3" width="23" style="5" customWidth="1"/>
    <col min="4" max="4" width="18.85546875" style="2" customWidth="1"/>
    <col min="5" max="5" width="18.5703125" style="2" customWidth="1"/>
    <col min="6" max="6" width="14.28515625" style="3" customWidth="1"/>
    <col min="7" max="7" width="21.85546875" style="3" customWidth="1"/>
    <col min="8" max="8" width="25.140625" style="3" customWidth="1"/>
    <col min="9" max="16384" width="9.140625" style="3"/>
  </cols>
  <sheetData>
    <row r="1" spans="1:23" ht="15" customHeight="1">
      <c r="A1" s="3"/>
    </row>
    <row r="2" spans="1:23" ht="15" customHeight="1">
      <c r="A2" s="3"/>
    </row>
    <row r="3" spans="1:23" ht="15" customHeight="1">
      <c r="A3" s="3"/>
    </row>
    <row r="4" spans="1:23" ht="15" customHeight="1">
      <c r="A4" s="6"/>
      <c r="B4" s="7"/>
      <c r="C4" s="8"/>
      <c r="D4" s="9">
        <f ca="1">TODAY()</f>
        <v>45307</v>
      </c>
      <c r="E4" s="10"/>
    </row>
    <row r="5" spans="1:23" ht="15" customHeight="1">
      <c r="A5" s="6"/>
      <c r="B5" s="7"/>
      <c r="C5" s="8"/>
      <c r="D5" s="9"/>
      <c r="E5" s="10"/>
    </row>
    <row r="6" spans="1:23" ht="15" customHeight="1">
      <c r="A6" s="3"/>
      <c r="D6" s="11" t="s">
        <v>0</v>
      </c>
      <c r="E6" s="11" t="s">
        <v>1</v>
      </c>
    </row>
    <row r="7" spans="1:23" ht="15" customHeight="1">
      <c r="A7" s="12" t="s">
        <v>2</v>
      </c>
      <c r="C7" s="2" t="s">
        <v>3</v>
      </c>
      <c r="D7" s="13" t="s">
        <v>4</v>
      </c>
      <c r="E7" s="14">
        <f>+D19</f>
        <v>210960</v>
      </c>
    </row>
    <row r="8" spans="1:23" ht="15" customHeight="1">
      <c r="A8" s="15" t="s">
        <v>5</v>
      </c>
      <c r="B8" s="16" t="s">
        <v>133</v>
      </c>
      <c r="C8" s="2" t="s">
        <v>7</v>
      </c>
      <c r="D8" s="13" t="s">
        <v>8</v>
      </c>
      <c r="E8" s="14">
        <f>+D69</f>
        <v>17052.461500000005</v>
      </c>
    </row>
    <row r="9" spans="1:23" ht="15" customHeight="1">
      <c r="A9" s="15" t="s">
        <v>9</v>
      </c>
      <c r="B9" s="17" t="s">
        <v>134</v>
      </c>
      <c r="C9" s="2" t="s">
        <v>10</v>
      </c>
      <c r="D9" s="13" t="s">
        <v>11</v>
      </c>
      <c r="E9" s="14">
        <f>SUM(E7:E8)</f>
        <v>228012.4615</v>
      </c>
    </row>
    <row r="10" spans="1:23" ht="15" customHeight="1">
      <c r="A10" s="18" t="s">
        <v>12</v>
      </c>
      <c r="B10" s="17" t="s">
        <v>135</v>
      </c>
      <c r="C10" s="2" t="s">
        <v>14</v>
      </c>
      <c r="D10" s="13" t="s">
        <v>15</v>
      </c>
      <c r="E10" s="14">
        <f>+E69+E67</f>
        <v>228012.46000000002</v>
      </c>
    </row>
    <row r="11" spans="1:23" ht="15" customHeight="1" thickBot="1">
      <c r="A11" s="18" t="s">
        <v>16</v>
      </c>
      <c r="B11" s="18" t="s">
        <v>136</v>
      </c>
      <c r="C11" s="2" t="s">
        <v>18</v>
      </c>
      <c r="D11" s="19" t="s">
        <v>19</v>
      </c>
      <c r="E11" s="20">
        <f>+E9-E10</f>
        <v>1.4999999839346856E-3</v>
      </c>
    </row>
    <row r="12" spans="1:23" ht="15" customHeight="1" thickTop="1">
      <c r="A12" s="15" t="s">
        <v>20</v>
      </c>
      <c r="B12" s="21"/>
      <c r="C12" s="2" t="s">
        <v>21</v>
      </c>
      <c r="D12" s="22" t="s">
        <v>22</v>
      </c>
      <c r="E12" s="23"/>
      <c r="F12" s="24" t="s">
        <v>137</v>
      </c>
      <c r="G12" s="402" t="s">
        <v>138</v>
      </c>
      <c r="H12" s="402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</row>
    <row r="13" spans="1:23" ht="15" customHeight="1">
      <c r="A13" s="3" t="s">
        <v>23</v>
      </c>
      <c r="B13" s="26" t="s">
        <v>139</v>
      </c>
      <c r="C13" s="3" t="s">
        <v>25</v>
      </c>
      <c r="D13" s="27" t="s">
        <v>26</v>
      </c>
      <c r="E13" s="28"/>
      <c r="G13" s="402"/>
      <c r="H13" s="402"/>
    </row>
    <row r="14" spans="1:23" ht="15" customHeight="1">
      <c r="A14" s="3" t="s">
        <v>27</v>
      </c>
      <c r="B14" s="3" t="s">
        <v>140</v>
      </c>
      <c r="C14" s="3"/>
      <c r="D14" s="29" t="s">
        <v>8</v>
      </c>
      <c r="E14" s="30">
        <f>D69-(E29+E34+E38+E42+E46+E50+E53+E58+E62+E66)</f>
        <v>1.5000000057625584E-3</v>
      </c>
      <c r="F14" s="31"/>
      <c r="G14" s="32" t="s">
        <v>141</v>
      </c>
    </row>
    <row r="15" spans="1:23" ht="15" customHeight="1">
      <c r="A15" s="403" t="s">
        <v>142</v>
      </c>
      <c r="B15" s="403"/>
      <c r="C15" s="403"/>
      <c r="D15" s="403"/>
      <c r="E15" s="403"/>
      <c r="F15" s="403"/>
      <c r="G15" s="33"/>
      <c r="H15" s="33"/>
    </row>
    <row r="16" spans="1:23" ht="15" customHeight="1" thickBot="1">
      <c r="A16" s="7"/>
      <c r="B16" s="7"/>
      <c r="C16" s="34"/>
      <c r="D16" s="35"/>
      <c r="E16" s="36"/>
    </row>
    <row r="17" spans="1:7" ht="15" customHeight="1">
      <c r="A17" s="404" t="s">
        <v>30</v>
      </c>
      <c r="B17" s="406" t="s">
        <v>69</v>
      </c>
      <c r="C17" s="408" t="s">
        <v>31</v>
      </c>
      <c r="D17" s="410" t="s">
        <v>32</v>
      </c>
      <c r="E17" s="410" t="s">
        <v>33</v>
      </c>
      <c r="F17" s="412" t="s">
        <v>34</v>
      </c>
      <c r="G17" s="37"/>
    </row>
    <row r="18" spans="1:7" ht="15" customHeight="1" thickBot="1">
      <c r="A18" s="405"/>
      <c r="B18" s="407"/>
      <c r="C18" s="409"/>
      <c r="D18" s="411"/>
      <c r="E18" s="411"/>
      <c r="F18" s="413"/>
      <c r="G18" s="37"/>
    </row>
    <row r="19" spans="1:7" ht="15" customHeight="1">
      <c r="A19" s="38" t="s">
        <v>143</v>
      </c>
      <c r="B19" s="39" t="s">
        <v>144</v>
      </c>
      <c r="C19" s="40"/>
      <c r="D19" s="41">
        <v>210960</v>
      </c>
      <c r="E19" s="42"/>
      <c r="F19" s="43">
        <f>D19-E19</f>
        <v>210960</v>
      </c>
    </row>
    <row r="20" spans="1:7" ht="15" customHeight="1">
      <c r="A20" s="44" t="s">
        <v>143</v>
      </c>
      <c r="B20" s="45" t="s">
        <v>145</v>
      </c>
      <c r="C20" s="46">
        <v>42553.19</v>
      </c>
      <c r="D20" s="47"/>
      <c r="E20" s="48"/>
      <c r="F20" s="49">
        <f t="shared" ref="F20:F68" si="0">F19+D20-E20</f>
        <v>210960</v>
      </c>
    </row>
    <row r="21" spans="1:7" ht="15" customHeight="1">
      <c r="A21" s="50" t="s">
        <v>146</v>
      </c>
      <c r="B21" s="51" t="s">
        <v>147</v>
      </c>
      <c r="C21" s="52"/>
      <c r="D21" s="53"/>
      <c r="E21" s="54">
        <v>42553.19</v>
      </c>
      <c r="F21" s="49">
        <f t="shared" si="0"/>
        <v>168406.81</v>
      </c>
    </row>
    <row r="22" spans="1:7" ht="15" customHeight="1">
      <c r="A22" s="55" t="s">
        <v>148</v>
      </c>
      <c r="B22" s="56" t="s">
        <v>149</v>
      </c>
      <c r="C22" s="57">
        <v>15089</v>
      </c>
      <c r="D22" s="53"/>
      <c r="E22" s="58"/>
      <c r="F22" s="49">
        <f t="shared" si="0"/>
        <v>168406.81</v>
      </c>
    </row>
    <row r="23" spans="1:7" ht="15" customHeight="1">
      <c r="A23" s="59" t="s">
        <v>150</v>
      </c>
      <c r="B23" s="60" t="s">
        <v>151</v>
      </c>
      <c r="C23" s="57"/>
      <c r="D23" s="53"/>
      <c r="E23" s="58">
        <v>15089</v>
      </c>
      <c r="F23" s="49">
        <f t="shared" si="0"/>
        <v>153317.81</v>
      </c>
    </row>
    <row r="24" spans="1:7" ht="15" customHeight="1">
      <c r="A24" s="55" t="s">
        <v>152</v>
      </c>
      <c r="B24" s="56" t="s">
        <v>153</v>
      </c>
      <c r="C24" s="57">
        <v>14897</v>
      </c>
      <c r="D24" s="53"/>
      <c r="E24" s="58"/>
      <c r="F24" s="49">
        <f t="shared" si="0"/>
        <v>153317.81</v>
      </c>
    </row>
    <row r="25" spans="1:7" ht="15" customHeight="1">
      <c r="A25" s="59" t="s">
        <v>154</v>
      </c>
      <c r="B25" s="60" t="s">
        <v>155</v>
      </c>
      <c r="C25" s="57"/>
      <c r="D25" s="53"/>
      <c r="E25" s="58">
        <v>14897</v>
      </c>
      <c r="F25" s="49">
        <f t="shared" si="0"/>
        <v>138420.81</v>
      </c>
    </row>
    <row r="26" spans="1:7" ht="15" customHeight="1">
      <c r="A26" s="55" t="s">
        <v>156</v>
      </c>
      <c r="B26" s="56" t="s">
        <v>157</v>
      </c>
      <c r="C26" s="57">
        <v>14705</v>
      </c>
      <c r="D26" s="53"/>
      <c r="E26" s="58"/>
      <c r="F26" s="49">
        <f t="shared" si="0"/>
        <v>138420.81</v>
      </c>
    </row>
    <row r="27" spans="1:7" ht="15" customHeight="1">
      <c r="A27" s="61" t="s">
        <v>158</v>
      </c>
      <c r="B27" s="62" t="s">
        <v>159</v>
      </c>
      <c r="C27" s="57"/>
      <c r="D27" s="63">
        <f>C26*5%*3</f>
        <v>2205.75</v>
      </c>
      <c r="E27" s="58"/>
      <c r="F27" s="49">
        <f t="shared" si="0"/>
        <v>140626.56</v>
      </c>
    </row>
    <row r="28" spans="1:7" ht="15" customHeight="1">
      <c r="A28" s="64" t="s">
        <v>160</v>
      </c>
      <c r="B28" s="65" t="s">
        <v>161</v>
      </c>
      <c r="C28" s="66"/>
      <c r="D28" s="67"/>
      <c r="E28" s="54">
        <v>14705</v>
      </c>
      <c r="F28" s="49">
        <f t="shared" si="0"/>
        <v>125921.56</v>
      </c>
    </row>
    <row r="29" spans="1:7" ht="15" customHeight="1">
      <c r="A29" s="50" t="s">
        <v>162</v>
      </c>
      <c r="B29" s="60" t="s">
        <v>163</v>
      </c>
      <c r="C29" s="66"/>
      <c r="D29" s="67"/>
      <c r="E29" s="54">
        <v>2205.75</v>
      </c>
      <c r="F29" s="49">
        <f t="shared" si="0"/>
        <v>123715.81</v>
      </c>
      <c r="G29" s="68">
        <f>E29+E34+E38+E42+E46+E50+E53</f>
        <v>9977.15</v>
      </c>
    </row>
    <row r="30" spans="1:7" ht="15" customHeight="1">
      <c r="A30" s="69" t="s">
        <v>164</v>
      </c>
      <c r="B30" s="56" t="s">
        <v>165</v>
      </c>
      <c r="C30" s="57">
        <v>14513</v>
      </c>
      <c r="D30" s="53"/>
      <c r="E30" s="54"/>
      <c r="F30" s="49">
        <f t="shared" si="0"/>
        <v>123715.81</v>
      </c>
      <c r="G30" s="68">
        <f>G29*1358</f>
        <v>13548969.699999999</v>
      </c>
    </row>
    <row r="31" spans="1:7" ht="15" customHeight="1">
      <c r="A31" s="70" t="s">
        <v>166</v>
      </c>
      <c r="B31" s="62" t="s">
        <v>167</v>
      </c>
      <c r="C31" s="71"/>
      <c r="D31" s="63">
        <f>C30*5%*2</f>
        <v>1451.3000000000002</v>
      </c>
      <c r="E31" s="54"/>
      <c r="F31" s="49">
        <f t="shared" si="0"/>
        <v>125167.11</v>
      </c>
    </row>
    <row r="32" spans="1:7" ht="15" customHeight="1">
      <c r="A32" s="59" t="s">
        <v>160</v>
      </c>
      <c r="B32" s="65" t="s">
        <v>168</v>
      </c>
      <c r="C32" s="71"/>
      <c r="D32" s="63"/>
      <c r="E32" s="54">
        <v>14505.25</v>
      </c>
      <c r="F32" s="49">
        <f t="shared" si="0"/>
        <v>110661.86</v>
      </c>
    </row>
    <row r="33" spans="1:7" ht="15" customHeight="1">
      <c r="A33" s="59" t="s">
        <v>169</v>
      </c>
      <c r="B33" s="72" t="s">
        <v>170</v>
      </c>
      <c r="C33" s="71"/>
      <c r="D33" s="63"/>
      <c r="E33" s="54">
        <v>7.75</v>
      </c>
      <c r="F33" s="49">
        <f t="shared" si="0"/>
        <v>110654.11</v>
      </c>
    </row>
    <row r="34" spans="1:7" ht="15" customHeight="1">
      <c r="A34" s="50" t="s">
        <v>162</v>
      </c>
      <c r="B34" s="60" t="s">
        <v>171</v>
      </c>
      <c r="C34" s="71"/>
      <c r="D34" s="63"/>
      <c r="E34" s="54">
        <v>1451.3</v>
      </c>
      <c r="F34" s="49">
        <f t="shared" si="0"/>
        <v>109202.81</v>
      </c>
    </row>
    <row r="35" spans="1:7" ht="15" customHeight="1">
      <c r="A35" s="55" t="s">
        <v>172</v>
      </c>
      <c r="B35" s="56" t="s">
        <v>173</v>
      </c>
      <c r="C35" s="57">
        <v>14322</v>
      </c>
      <c r="D35" s="53"/>
      <c r="E35" s="58"/>
      <c r="F35" s="49">
        <f t="shared" si="0"/>
        <v>109202.81</v>
      </c>
    </row>
    <row r="36" spans="1:7" ht="15" customHeight="1">
      <c r="A36" s="73" t="s">
        <v>174</v>
      </c>
      <c r="B36" s="62" t="s">
        <v>175</v>
      </c>
      <c r="C36" s="57"/>
      <c r="D36" s="63">
        <f>C35*5%*3</f>
        <v>2148.3000000000002</v>
      </c>
      <c r="E36" s="58"/>
      <c r="F36" s="49">
        <f t="shared" si="0"/>
        <v>111351.11</v>
      </c>
    </row>
    <row r="37" spans="1:7" ht="15" customHeight="1">
      <c r="A37" s="59" t="s">
        <v>176</v>
      </c>
      <c r="B37" s="74" t="s">
        <v>177</v>
      </c>
      <c r="C37" s="66"/>
      <c r="D37" s="67"/>
      <c r="E37" s="58">
        <v>14322</v>
      </c>
      <c r="F37" s="49">
        <f t="shared" si="0"/>
        <v>97029.11</v>
      </c>
    </row>
    <row r="38" spans="1:7" ht="15" customHeight="1">
      <c r="A38" s="50" t="s">
        <v>162</v>
      </c>
      <c r="B38" s="60" t="s">
        <v>178</v>
      </c>
      <c r="C38" s="66"/>
      <c r="D38" s="67"/>
      <c r="E38" s="54">
        <v>2148.3000000000002</v>
      </c>
      <c r="F38" s="49">
        <f t="shared" si="0"/>
        <v>94880.81</v>
      </c>
    </row>
    <row r="39" spans="1:7" ht="15" customHeight="1">
      <c r="A39" s="55" t="s">
        <v>179</v>
      </c>
      <c r="B39" s="56" t="s">
        <v>180</v>
      </c>
      <c r="C39" s="57">
        <v>14130</v>
      </c>
      <c r="D39" s="53"/>
      <c r="E39" s="58"/>
      <c r="F39" s="49">
        <f t="shared" si="0"/>
        <v>94880.81</v>
      </c>
    </row>
    <row r="40" spans="1:7" ht="15" customHeight="1">
      <c r="A40" s="70" t="s">
        <v>181</v>
      </c>
      <c r="B40" s="62" t="s">
        <v>182</v>
      </c>
      <c r="C40" s="57"/>
      <c r="D40" s="63">
        <f>C39*5%*2</f>
        <v>1413</v>
      </c>
      <c r="E40" s="58"/>
      <c r="F40" s="49">
        <f t="shared" si="0"/>
        <v>96293.81</v>
      </c>
      <c r="G40" s="75"/>
    </row>
    <row r="41" spans="1:7" ht="15" customHeight="1">
      <c r="A41" s="50" t="s">
        <v>176</v>
      </c>
      <c r="B41" s="51" t="s">
        <v>183</v>
      </c>
      <c r="C41" s="57"/>
      <c r="D41" s="63"/>
      <c r="E41" s="58">
        <v>14130</v>
      </c>
      <c r="F41" s="49">
        <f t="shared" si="0"/>
        <v>82163.81</v>
      </c>
      <c r="G41" s="75"/>
    </row>
    <row r="42" spans="1:7" ht="15" customHeight="1">
      <c r="A42" s="50" t="s">
        <v>162</v>
      </c>
      <c r="B42" s="60" t="s">
        <v>184</v>
      </c>
      <c r="C42" s="57"/>
      <c r="D42" s="63"/>
      <c r="E42" s="58">
        <v>1413</v>
      </c>
      <c r="F42" s="49">
        <f t="shared" si="0"/>
        <v>80750.81</v>
      </c>
      <c r="G42" s="75"/>
    </row>
    <row r="43" spans="1:7" ht="15" customHeight="1">
      <c r="A43" s="55" t="s">
        <v>185</v>
      </c>
      <c r="B43" s="56" t="s">
        <v>186</v>
      </c>
      <c r="C43" s="57">
        <v>13938</v>
      </c>
      <c r="D43" s="53"/>
      <c r="E43" s="58"/>
      <c r="F43" s="49">
        <f t="shared" si="0"/>
        <v>80750.81</v>
      </c>
      <c r="G43" s="68"/>
    </row>
    <row r="44" spans="1:7" ht="15" customHeight="1">
      <c r="A44" s="73" t="s">
        <v>187</v>
      </c>
      <c r="B44" s="62" t="s">
        <v>188</v>
      </c>
      <c r="C44" s="57"/>
      <c r="D44" s="63">
        <f>C43*5%*2</f>
        <v>1393.8000000000002</v>
      </c>
      <c r="E44" s="58"/>
      <c r="F44" s="49">
        <f t="shared" si="0"/>
        <v>82144.61</v>
      </c>
    </row>
    <row r="45" spans="1:7" ht="15" customHeight="1">
      <c r="A45" s="59" t="s">
        <v>189</v>
      </c>
      <c r="B45" s="72" t="s">
        <v>190</v>
      </c>
      <c r="C45" s="66"/>
      <c r="D45" s="67"/>
      <c r="E45" s="58">
        <v>13938</v>
      </c>
      <c r="F45" s="49">
        <f t="shared" si="0"/>
        <v>68206.61</v>
      </c>
    </row>
    <row r="46" spans="1:7" ht="15" customHeight="1">
      <c r="A46" s="50" t="s">
        <v>162</v>
      </c>
      <c r="B46" s="60" t="s">
        <v>191</v>
      </c>
      <c r="C46" s="66"/>
      <c r="D46" s="67"/>
      <c r="E46" s="54">
        <v>1393.8</v>
      </c>
      <c r="F46" s="49">
        <f t="shared" si="0"/>
        <v>66812.81</v>
      </c>
    </row>
    <row r="47" spans="1:7" ht="15" customHeight="1">
      <c r="A47" s="55" t="s">
        <v>192</v>
      </c>
      <c r="B47" s="56" t="s">
        <v>193</v>
      </c>
      <c r="C47" s="76">
        <v>13746</v>
      </c>
      <c r="D47" s="67"/>
      <c r="E47" s="58"/>
      <c r="F47" s="49">
        <f t="shared" si="0"/>
        <v>66812.81</v>
      </c>
      <c r="G47" s="77"/>
    </row>
    <row r="48" spans="1:7" ht="15" customHeight="1">
      <c r="A48" s="70" t="s">
        <v>194</v>
      </c>
      <c r="B48" s="62" t="s">
        <v>195</v>
      </c>
      <c r="C48" s="57"/>
      <c r="D48" s="63">
        <f>C47*5%*1</f>
        <v>687.30000000000007</v>
      </c>
      <c r="E48" s="58"/>
      <c r="F48" s="49">
        <f t="shared" si="0"/>
        <v>67500.11</v>
      </c>
    </row>
    <row r="49" spans="1:8" ht="15" customHeight="1">
      <c r="A49" s="50" t="s">
        <v>189</v>
      </c>
      <c r="B49" s="72" t="s">
        <v>196</v>
      </c>
      <c r="C49" s="57"/>
      <c r="D49" s="63"/>
      <c r="E49" s="54">
        <v>13746</v>
      </c>
      <c r="F49" s="49">
        <f t="shared" si="0"/>
        <v>53754.11</v>
      </c>
    </row>
    <row r="50" spans="1:8" ht="15" customHeight="1">
      <c r="A50" s="50" t="s">
        <v>162</v>
      </c>
      <c r="B50" s="60" t="s">
        <v>197</v>
      </c>
      <c r="C50" s="57"/>
      <c r="D50" s="63"/>
      <c r="E50" s="58">
        <v>687.3</v>
      </c>
      <c r="F50" s="49">
        <f t="shared" si="0"/>
        <v>53066.81</v>
      </c>
    </row>
    <row r="51" spans="1:8" ht="15" customHeight="1">
      <c r="A51" s="69" t="s">
        <v>189</v>
      </c>
      <c r="B51" s="78" t="s">
        <v>198</v>
      </c>
      <c r="C51" s="57">
        <v>13554</v>
      </c>
      <c r="D51" s="53"/>
      <c r="E51" s="58"/>
      <c r="F51" s="49">
        <f t="shared" si="0"/>
        <v>53066.81</v>
      </c>
    </row>
    <row r="52" spans="1:8" ht="15" customHeight="1">
      <c r="A52" s="70" t="s">
        <v>199</v>
      </c>
      <c r="B52" s="62" t="s">
        <v>200</v>
      </c>
      <c r="C52" s="57"/>
      <c r="D52" s="79">
        <f>C51*5%*1</f>
        <v>677.7</v>
      </c>
      <c r="E52" s="58"/>
      <c r="F52" s="49">
        <f t="shared" si="0"/>
        <v>53744.509999999995</v>
      </c>
    </row>
    <row r="53" spans="1:8" ht="15" customHeight="1">
      <c r="A53" s="50" t="s">
        <v>162</v>
      </c>
      <c r="B53" s="60" t="s">
        <v>201</v>
      </c>
      <c r="C53" s="57"/>
      <c r="D53" s="79"/>
      <c r="E53" s="54">
        <v>677.7</v>
      </c>
      <c r="F53" s="49">
        <f t="shared" si="0"/>
        <v>53066.81</v>
      </c>
    </row>
    <row r="54" spans="1:8" ht="15" customHeight="1">
      <c r="A54" s="50" t="s">
        <v>162</v>
      </c>
      <c r="B54" s="60" t="s">
        <v>202</v>
      </c>
      <c r="C54" s="57"/>
      <c r="D54" s="79"/>
      <c r="E54" s="54">
        <v>13554</v>
      </c>
      <c r="F54" s="49">
        <f t="shared" si="0"/>
        <v>39512.81</v>
      </c>
      <c r="H54" s="68"/>
    </row>
    <row r="55" spans="1:8" ht="15" customHeight="1">
      <c r="A55" s="69" t="s">
        <v>203</v>
      </c>
      <c r="B55" s="80" t="s">
        <v>204</v>
      </c>
      <c r="C55" s="76">
        <v>13363</v>
      </c>
      <c r="D55" s="53"/>
      <c r="E55" s="58"/>
      <c r="F55" s="49">
        <f t="shared" si="0"/>
        <v>39512.81</v>
      </c>
      <c r="G55" s="81"/>
      <c r="H55" s="68"/>
    </row>
    <row r="56" spans="1:8" ht="15" customHeight="1">
      <c r="A56" s="50" t="s">
        <v>162</v>
      </c>
      <c r="B56" s="60" t="s">
        <v>205</v>
      </c>
      <c r="C56" s="82"/>
      <c r="D56" s="79"/>
      <c r="E56" s="54">
        <v>3385.85</v>
      </c>
      <c r="F56" s="49">
        <f t="shared" si="0"/>
        <v>36126.959999999999</v>
      </c>
      <c r="G56" s="81"/>
      <c r="H56" s="68"/>
    </row>
    <row r="57" spans="1:8" ht="15" customHeight="1">
      <c r="A57" s="70" t="s">
        <v>206</v>
      </c>
      <c r="B57" s="62" t="s">
        <v>207</v>
      </c>
      <c r="C57" s="82"/>
      <c r="D57" s="79">
        <v>2494.29</v>
      </c>
      <c r="E57" s="54"/>
      <c r="F57" s="49">
        <f t="shared" si="0"/>
        <v>38621.25</v>
      </c>
      <c r="G57" s="81"/>
    </row>
    <row r="58" spans="1:8" ht="15" customHeight="1">
      <c r="A58" s="50" t="s">
        <v>208</v>
      </c>
      <c r="B58" s="72" t="s">
        <v>209</v>
      </c>
      <c r="C58" s="66"/>
      <c r="D58" s="67"/>
      <c r="E58" s="54">
        <v>2494.29</v>
      </c>
      <c r="F58" s="49">
        <f t="shared" si="0"/>
        <v>36126.959999999999</v>
      </c>
      <c r="G58" s="81"/>
    </row>
    <row r="59" spans="1:8" ht="15" customHeight="1">
      <c r="A59" s="50" t="s">
        <v>208</v>
      </c>
      <c r="B59" s="72" t="s">
        <v>209</v>
      </c>
      <c r="C59" s="66"/>
      <c r="D59" s="67"/>
      <c r="E59" s="54">
        <v>9977.15</v>
      </c>
      <c r="F59" s="49">
        <f t="shared" si="0"/>
        <v>26149.809999999998</v>
      </c>
      <c r="G59" s="81"/>
    </row>
    <row r="60" spans="1:8" ht="15" customHeight="1">
      <c r="A60" s="69" t="s">
        <v>210</v>
      </c>
      <c r="B60" s="45" t="s">
        <v>211</v>
      </c>
      <c r="C60" s="41">
        <v>13171</v>
      </c>
      <c r="D60" s="83"/>
      <c r="E60" s="58"/>
      <c r="F60" s="49">
        <f t="shared" si="0"/>
        <v>26149.809999999998</v>
      </c>
      <c r="G60" s="84"/>
    </row>
    <row r="61" spans="1:8" ht="15" customHeight="1">
      <c r="A61" s="70" t="s">
        <v>212</v>
      </c>
      <c r="B61" s="62" t="s">
        <v>213</v>
      </c>
      <c r="C61" s="41"/>
      <c r="D61" s="83">
        <f>C60*5%*4</f>
        <v>2634.2000000000003</v>
      </c>
      <c r="E61" s="58"/>
      <c r="F61" s="49">
        <f t="shared" si="0"/>
        <v>28784.01</v>
      </c>
      <c r="G61" s="84"/>
    </row>
    <row r="62" spans="1:8" ht="15" customHeight="1">
      <c r="A62" s="50" t="s">
        <v>208</v>
      </c>
      <c r="B62" s="72" t="s">
        <v>209</v>
      </c>
      <c r="C62" s="41"/>
      <c r="D62" s="83"/>
      <c r="E62" s="54">
        <v>2634.2</v>
      </c>
      <c r="F62" s="49">
        <f t="shared" si="0"/>
        <v>26149.809999999998</v>
      </c>
      <c r="G62" s="84"/>
      <c r="H62" s="68">
        <f>E58+E62+E66</f>
        <v>7075.3099999999995</v>
      </c>
    </row>
    <row r="63" spans="1:8" ht="15" customHeight="1">
      <c r="A63" s="59" t="s">
        <v>208</v>
      </c>
      <c r="B63" s="72" t="s">
        <v>209</v>
      </c>
      <c r="C63" s="333">
        <f>C60-E63</f>
        <v>4073.4599999999991</v>
      </c>
      <c r="D63" s="83"/>
      <c r="E63" s="54">
        <v>9097.5400000000009</v>
      </c>
      <c r="F63" s="49">
        <f t="shared" si="0"/>
        <v>17052.269999999997</v>
      </c>
      <c r="G63" s="84"/>
      <c r="H63" s="68"/>
    </row>
    <row r="64" spans="1:8" ht="15" customHeight="1">
      <c r="A64" s="55" t="s">
        <v>214</v>
      </c>
      <c r="B64" s="56" t="s">
        <v>215</v>
      </c>
      <c r="C64" s="334">
        <v>12978.81</v>
      </c>
      <c r="D64" s="53"/>
      <c r="E64" s="58"/>
      <c r="F64" s="49">
        <f t="shared" si="0"/>
        <v>17052.269999999997</v>
      </c>
      <c r="G64" s="84"/>
      <c r="H64" s="68">
        <f>26150-H62</f>
        <v>19074.690000000002</v>
      </c>
    </row>
    <row r="65" spans="1:8" ht="15" customHeight="1">
      <c r="A65" s="85" t="s">
        <v>216</v>
      </c>
      <c r="B65" s="86" t="s">
        <v>217</v>
      </c>
      <c r="C65" s="41"/>
      <c r="D65" s="83">
        <f>C64*5%*3</f>
        <v>1946.8215</v>
      </c>
      <c r="E65" s="58"/>
      <c r="F65" s="49">
        <f t="shared" si="0"/>
        <v>18999.091499999995</v>
      </c>
      <c r="G65" s="84"/>
      <c r="H65" s="68">
        <f>H64-E59</f>
        <v>9097.5400000000027</v>
      </c>
    </row>
    <row r="66" spans="1:8" ht="15" customHeight="1">
      <c r="A66" s="50" t="s">
        <v>208</v>
      </c>
      <c r="B66" s="72" t="s">
        <v>209</v>
      </c>
      <c r="C66" s="87"/>
      <c r="D66" s="67"/>
      <c r="E66" s="88">
        <v>1946.82</v>
      </c>
      <c r="F66" s="49">
        <f t="shared" si="0"/>
        <v>17052.271499999995</v>
      </c>
      <c r="G66" s="68"/>
    </row>
    <row r="67" spans="1:8" ht="15" customHeight="1">
      <c r="A67" s="331">
        <v>43713</v>
      </c>
      <c r="B67" s="332" t="s">
        <v>331</v>
      </c>
      <c r="C67" s="328"/>
      <c r="D67" s="329"/>
      <c r="E67" s="330">
        <v>17052.27</v>
      </c>
      <c r="F67" s="49">
        <f t="shared" si="0"/>
        <v>1.499999994848622E-3</v>
      </c>
      <c r="G67" s="68"/>
    </row>
    <row r="68" spans="1:8" ht="15" customHeight="1">
      <c r="A68" s="326"/>
      <c r="B68" s="327"/>
      <c r="C68" s="328"/>
      <c r="D68" s="329"/>
      <c r="E68" s="330"/>
      <c r="F68" s="49">
        <f t="shared" si="0"/>
        <v>1.499999994848622E-3</v>
      </c>
      <c r="G68" s="68"/>
    </row>
    <row r="69" spans="1:8" ht="15" customHeight="1" thickBot="1">
      <c r="A69" s="414" t="s">
        <v>61</v>
      </c>
      <c r="B69" s="415"/>
      <c r="C69" s="323">
        <f>SUM(C20:C66)-4073.46</f>
        <v>210960</v>
      </c>
      <c r="D69" s="323">
        <f>SUM(D20:D66)</f>
        <v>17052.461500000005</v>
      </c>
      <c r="E69" s="324">
        <f>SUM(E20:E67)-E67</f>
        <v>210960.19000000003</v>
      </c>
      <c r="F69" s="325">
        <f>+F68</f>
        <v>1.499999994848622E-3</v>
      </c>
    </row>
    <row r="70" spans="1:8" ht="15" customHeight="1">
      <c r="A70" s="91" t="s">
        <v>62</v>
      </c>
      <c r="B70" s="91" t="s">
        <v>218</v>
      </c>
      <c r="C70" s="92"/>
      <c r="D70" s="93"/>
    </row>
    <row r="72" spans="1:8" ht="15" customHeight="1">
      <c r="H72" s="68"/>
    </row>
    <row r="73" spans="1:8" ht="15" customHeight="1">
      <c r="D73" s="75"/>
      <c r="E73" s="75"/>
    </row>
    <row r="92" spans="1:9" ht="15" customHeight="1">
      <c r="A92" s="94"/>
      <c r="B92" s="94"/>
      <c r="C92" s="95"/>
      <c r="D92" s="13"/>
      <c r="E92" s="13"/>
      <c r="F92" s="37"/>
      <c r="G92" s="37"/>
      <c r="H92" s="37"/>
      <c r="I92" s="37"/>
    </row>
    <row r="93" spans="1:9" ht="15" customHeight="1">
      <c r="A93" s="94"/>
      <c r="B93" s="94"/>
      <c r="C93" s="95"/>
      <c r="D93" s="13"/>
      <c r="E93" s="13"/>
      <c r="F93" s="37"/>
      <c r="G93" s="37"/>
      <c r="H93" s="37"/>
      <c r="I93" s="37"/>
    </row>
    <row r="94" spans="1:9" s="97" customFormat="1" ht="15" customHeight="1">
      <c r="A94" s="96"/>
      <c r="B94" s="96"/>
      <c r="C94" s="96"/>
      <c r="D94" s="26"/>
      <c r="E94" s="96"/>
      <c r="F94" s="96"/>
      <c r="G94" s="96"/>
      <c r="H94" s="96"/>
      <c r="I94" s="26"/>
    </row>
    <row r="95" spans="1:9" s="97" customFormat="1" ht="15" customHeight="1">
      <c r="A95" s="98"/>
      <c r="B95" s="96"/>
      <c r="C95" s="96"/>
      <c r="D95" s="26"/>
      <c r="E95" s="96"/>
      <c r="F95" s="96"/>
      <c r="G95" s="96"/>
      <c r="H95" s="96"/>
      <c r="I95" s="26"/>
    </row>
    <row r="96" spans="1:9" s="97" customFormat="1" ht="15" customHeight="1">
      <c r="A96" s="98"/>
      <c r="B96" s="96"/>
      <c r="C96" s="96"/>
      <c r="D96" s="26"/>
      <c r="E96" s="96"/>
      <c r="F96" s="96"/>
      <c r="G96" s="96"/>
      <c r="H96" s="96"/>
      <c r="I96" s="26"/>
    </row>
    <row r="97" spans="1:9" s="97" customFormat="1" ht="15" customHeight="1">
      <c r="A97" s="99"/>
      <c r="B97" s="96"/>
      <c r="C97" s="96"/>
      <c r="D97" s="96"/>
      <c r="E97" s="96"/>
      <c r="F97" s="96"/>
      <c r="G97" s="96"/>
      <c r="H97" s="96"/>
      <c r="I97" s="26"/>
    </row>
    <row r="98" spans="1:9" s="97" customFormat="1" ht="15" customHeight="1">
      <c r="A98" s="100"/>
      <c r="B98" s="100"/>
      <c r="C98" s="100"/>
      <c r="D98" s="100"/>
      <c r="E98" s="100"/>
      <c r="F98" s="100"/>
      <c r="G98" s="101"/>
      <c r="H98" s="102"/>
      <c r="I98" s="26"/>
    </row>
    <row r="99" spans="1:9" s="97" customFormat="1" ht="15" customHeight="1">
      <c r="A99" s="26"/>
      <c r="B99" s="99"/>
      <c r="C99" s="103"/>
      <c r="D99" s="104"/>
      <c r="E99" s="26"/>
      <c r="F99" s="105"/>
      <c r="G99" s="106"/>
      <c r="H99" s="106"/>
      <c r="I99" s="26"/>
    </row>
    <row r="100" spans="1:9" s="97" customFormat="1" ht="15" customHeight="1">
      <c r="A100" s="26"/>
      <c r="B100" s="99"/>
      <c r="C100" s="103"/>
      <c r="D100" s="104"/>
      <c r="E100" s="26"/>
      <c r="F100" s="106"/>
      <c r="G100" s="106"/>
      <c r="H100" s="106"/>
      <c r="I100" s="26"/>
    </row>
    <row r="101" spans="1:9" s="97" customFormat="1" ht="15" customHeight="1">
      <c r="A101" s="26"/>
      <c r="B101" s="104"/>
      <c r="C101" s="104"/>
      <c r="D101" s="104"/>
      <c r="E101" s="26"/>
      <c r="F101" s="106"/>
      <c r="G101" s="106"/>
      <c r="H101" s="106"/>
      <c r="I101" s="26"/>
    </row>
    <row r="102" spans="1:9" s="97" customFormat="1" ht="15" customHeight="1">
      <c r="A102" s="26"/>
      <c r="B102" s="104"/>
      <c r="C102" s="107"/>
      <c r="D102" s="104"/>
      <c r="E102" s="26"/>
      <c r="F102" s="106"/>
      <c r="G102" s="106"/>
      <c r="H102" s="104"/>
      <c r="I102" s="26"/>
    </row>
    <row r="103" spans="1:9" s="97" customFormat="1" ht="15" customHeight="1">
      <c r="A103" s="26"/>
      <c r="B103" s="104"/>
      <c r="C103" s="107"/>
      <c r="D103" s="104"/>
      <c r="E103" s="26"/>
      <c r="F103" s="106"/>
      <c r="G103" s="108"/>
      <c r="H103" s="104"/>
      <c r="I103" s="26"/>
    </row>
    <row r="104" spans="1:9" s="97" customFormat="1" ht="15" customHeight="1">
      <c r="A104" s="26"/>
      <c r="B104" s="104"/>
      <c r="C104" s="107"/>
      <c r="D104" s="104"/>
      <c r="E104" s="26"/>
      <c r="F104" s="106"/>
      <c r="G104" s="106"/>
      <c r="H104" s="104"/>
      <c r="I104" s="26"/>
    </row>
    <row r="105" spans="1:9" s="97" customFormat="1" ht="15" customHeight="1">
      <c r="A105" s="26"/>
      <c r="B105" s="26"/>
      <c r="C105" s="26"/>
      <c r="D105" s="104"/>
      <c r="E105" s="26"/>
      <c r="F105" s="106"/>
      <c r="G105" s="106"/>
      <c r="H105" s="109"/>
      <c r="I105" s="26"/>
    </row>
    <row r="106" spans="1:9" s="97" customFormat="1" ht="15" customHeight="1">
      <c r="A106" s="26"/>
      <c r="B106" s="110"/>
      <c r="C106" s="110"/>
      <c r="D106" s="26"/>
      <c r="E106" s="26"/>
      <c r="F106" s="106"/>
      <c r="G106" s="106"/>
      <c r="H106" s="106"/>
      <c r="I106" s="26"/>
    </row>
    <row r="107" spans="1:9" s="97" customFormat="1" ht="15" customHeight="1">
      <c r="A107" s="26"/>
      <c r="B107" s="110"/>
      <c r="C107" s="110"/>
      <c r="D107" s="110"/>
      <c r="E107" s="110"/>
      <c r="F107" s="110"/>
      <c r="G107" s="106"/>
      <c r="H107" s="106"/>
      <c r="I107" s="26"/>
    </row>
    <row r="108" spans="1:9" s="97" customFormat="1" ht="15" customHeight="1">
      <c r="A108" s="416"/>
      <c r="B108" s="416"/>
      <c r="C108" s="416"/>
      <c r="D108" s="416"/>
      <c r="E108" s="416"/>
      <c r="F108" s="416"/>
      <c r="G108" s="111"/>
      <c r="H108" s="112"/>
      <c r="I108" s="26"/>
    </row>
    <row r="109" spans="1:9" s="97" customFormat="1" ht="15" customHeight="1">
      <c r="A109" s="26"/>
      <c r="B109" s="417"/>
      <c r="C109" s="417"/>
      <c r="D109" s="417"/>
      <c r="E109" s="113"/>
      <c r="F109" s="26"/>
      <c r="G109" s="26"/>
      <c r="H109" s="106"/>
      <c r="I109" s="26"/>
    </row>
    <row r="110" spans="1:9" s="97" customFormat="1" ht="15" customHeight="1">
      <c r="A110" s="26"/>
      <c r="B110" s="114"/>
      <c r="C110" s="114"/>
      <c r="D110" s="114"/>
      <c r="E110" s="113"/>
      <c r="F110" s="26"/>
      <c r="G110" s="26"/>
      <c r="H110" s="106"/>
      <c r="I110" s="26"/>
    </row>
    <row r="111" spans="1:9" s="97" customFormat="1" ht="15" customHeight="1">
      <c r="A111" s="26"/>
      <c r="B111" s="115"/>
      <c r="C111" s="114"/>
      <c r="D111" s="114"/>
      <c r="E111" s="113"/>
      <c r="F111" s="108"/>
      <c r="G111" s="26"/>
      <c r="H111" s="106"/>
      <c r="I111" s="26"/>
    </row>
    <row r="112" spans="1:9" s="97" customFormat="1" ht="15" customHeight="1">
      <c r="A112" s="26"/>
      <c r="B112" s="115"/>
      <c r="C112" s="114"/>
      <c r="D112" s="114"/>
      <c r="E112" s="113"/>
      <c r="F112" s="108"/>
      <c r="G112" s="106"/>
      <c r="H112" s="106"/>
      <c r="I112" s="26"/>
    </row>
    <row r="113" spans="1:9" s="97" customFormat="1" ht="15" customHeight="1">
      <c r="A113" s="26"/>
      <c r="B113" s="115"/>
      <c r="C113" s="114"/>
      <c r="D113" s="114"/>
      <c r="E113" s="113"/>
      <c r="F113" s="108"/>
      <c r="G113" s="106"/>
      <c r="H113" s="106"/>
      <c r="I113" s="26"/>
    </row>
    <row r="114" spans="1:9" s="97" customFormat="1" ht="15" customHeight="1">
      <c r="A114" s="26"/>
      <c r="B114" s="99"/>
      <c r="C114" s="116"/>
      <c r="D114" s="104"/>
      <c r="E114" s="102"/>
      <c r="F114" s="108"/>
      <c r="G114" s="117"/>
      <c r="H114" s="118"/>
      <c r="I114" s="26"/>
    </row>
    <row r="115" spans="1:9" s="97" customFormat="1" ht="15" customHeight="1">
      <c r="A115" s="416"/>
      <c r="B115" s="416"/>
      <c r="C115" s="416"/>
      <c r="D115" s="416"/>
      <c r="E115" s="416"/>
      <c r="F115" s="416"/>
      <c r="G115" s="111"/>
      <c r="H115" s="119"/>
      <c r="I115" s="26"/>
    </row>
    <row r="116" spans="1:9" s="97" customFormat="1" ht="15" customHeight="1">
      <c r="A116" s="416"/>
      <c r="B116" s="416"/>
      <c r="C116" s="416"/>
      <c r="D116" s="416"/>
      <c r="E116" s="416"/>
      <c r="F116" s="26"/>
      <c r="G116" s="120"/>
      <c r="H116" s="113"/>
      <c r="I116" s="26"/>
    </row>
    <row r="117" spans="1:9" ht="15" customHeight="1">
      <c r="A117" s="94"/>
      <c r="B117" s="94"/>
      <c r="C117" s="95"/>
      <c r="D117" s="13"/>
      <c r="E117" s="13"/>
      <c r="F117" s="37"/>
      <c r="G117" s="37"/>
      <c r="H117" s="37"/>
      <c r="I117" s="37"/>
    </row>
    <row r="118" spans="1:9" ht="15" customHeight="1">
      <c r="A118" s="94"/>
      <c r="B118" s="94"/>
      <c r="C118" s="95"/>
      <c r="D118" s="13"/>
      <c r="E118" s="13"/>
      <c r="F118" s="37"/>
      <c r="G118" s="37"/>
      <c r="H118" s="37"/>
      <c r="I118" s="37"/>
    </row>
  </sheetData>
  <mergeCells count="13">
    <mergeCell ref="A69:B69"/>
    <mergeCell ref="A108:F108"/>
    <mergeCell ref="B109:D109"/>
    <mergeCell ref="A115:F115"/>
    <mergeCell ref="A116:E116"/>
    <mergeCell ref="G12:H13"/>
    <mergeCell ref="A15:F15"/>
    <mergeCell ref="A17:A18"/>
    <mergeCell ref="B17:B18"/>
    <mergeCell ref="C17:C18"/>
    <mergeCell ref="D17:D18"/>
    <mergeCell ref="E17:E18"/>
    <mergeCell ref="F17:F18"/>
  </mergeCells>
  <printOptions horizontalCentered="1"/>
  <pageMargins left="0" right="0" top="0" bottom="0" header="0.3" footer="0.3"/>
  <pageSetup paperSize="9" scale="90" orientation="landscape" verticalDpi="30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2"/>
  <sheetViews>
    <sheetView tabSelected="1" topLeftCell="A18" zoomScaleNormal="100" workbookViewId="0">
      <selection activeCell="E25" sqref="E25"/>
    </sheetView>
  </sheetViews>
  <sheetFormatPr defaultRowHeight="15" customHeight="1"/>
  <cols>
    <col min="1" max="1" width="15" style="4" customWidth="1"/>
    <col min="2" max="2" width="60.85546875" style="4" customWidth="1"/>
    <col min="3" max="3" width="20.28515625" style="5" customWidth="1"/>
    <col min="4" max="4" width="17.140625" style="2" customWidth="1"/>
    <col min="5" max="5" width="14.7109375" style="2" customWidth="1"/>
    <col min="6" max="6" width="16.28515625" style="3" customWidth="1"/>
    <col min="7" max="7" width="20.140625" style="3" customWidth="1"/>
    <col min="8" max="8" width="13.28515625" style="3" bestFit="1" customWidth="1"/>
    <col min="9" max="16384" width="9.140625" style="3"/>
  </cols>
  <sheetData>
    <row r="1" spans="1:7" ht="15" customHeight="1">
      <c r="A1" s="146"/>
      <c r="B1" s="146"/>
      <c r="C1" s="146"/>
      <c r="D1" s="146"/>
      <c r="E1" s="146"/>
      <c r="F1" s="146"/>
    </row>
    <row r="2" spans="1:7" ht="15" customHeight="1">
      <c r="A2" s="146"/>
      <c r="B2" s="146"/>
      <c r="C2" s="146"/>
      <c r="D2" s="146"/>
      <c r="E2" s="146"/>
      <c r="F2" s="146"/>
    </row>
    <row r="3" spans="1:7" ht="15" customHeight="1">
      <c r="A3" s="277"/>
      <c r="C3" s="278"/>
      <c r="D3" s="279"/>
      <c r="E3" s="279"/>
      <c r="F3" s="277"/>
    </row>
    <row r="4" spans="1:7" ht="15" customHeight="1">
      <c r="A4" s="280"/>
      <c r="B4" s="7"/>
      <c r="C4" s="281"/>
      <c r="E4" s="282"/>
      <c r="F4" s="277"/>
    </row>
    <row r="5" spans="1:7" ht="15" customHeight="1">
      <c r="A5" s="280"/>
      <c r="B5" s="7"/>
      <c r="C5" s="281"/>
      <c r="D5" s="9"/>
      <c r="E5" s="282"/>
      <c r="F5" s="277"/>
    </row>
    <row r="6" spans="1:7" ht="15" customHeight="1">
      <c r="A6" s="277"/>
      <c r="C6" s="9">
        <f ca="1">TODAY()</f>
        <v>45307</v>
      </c>
      <c r="D6" s="11" t="s">
        <v>0</v>
      </c>
      <c r="E6" s="11" t="s">
        <v>1</v>
      </c>
      <c r="F6" s="277"/>
    </row>
    <row r="7" spans="1:7" ht="15" customHeight="1">
      <c r="A7" s="12" t="s">
        <v>2</v>
      </c>
      <c r="C7" s="279" t="s">
        <v>3</v>
      </c>
      <c r="D7" s="283" t="s">
        <v>294</v>
      </c>
      <c r="E7" s="14">
        <f>D19</f>
        <v>37190</v>
      </c>
      <c r="F7" s="277"/>
    </row>
    <row r="8" spans="1:7" ht="15" customHeight="1">
      <c r="A8" s="15" t="s">
        <v>5</v>
      </c>
      <c r="B8" s="121" t="s">
        <v>79</v>
      </c>
      <c r="C8" s="279" t="s">
        <v>7</v>
      </c>
      <c r="D8" s="283" t="s">
        <v>8</v>
      </c>
      <c r="E8" s="14">
        <f>+D39</f>
        <v>71382.5</v>
      </c>
      <c r="F8" s="277"/>
    </row>
    <row r="9" spans="1:7" ht="15" customHeight="1">
      <c r="A9" s="15" t="s">
        <v>9</v>
      </c>
      <c r="B9" s="17" t="s">
        <v>80</v>
      </c>
      <c r="C9" s="279" t="s">
        <v>10</v>
      </c>
      <c r="D9" s="283" t="s">
        <v>11</v>
      </c>
      <c r="E9" s="14">
        <f>SUM(E7:E8)</f>
        <v>108572.5</v>
      </c>
      <c r="F9" s="277"/>
    </row>
    <row r="10" spans="1:7" ht="15" customHeight="1">
      <c r="A10" s="18" t="s">
        <v>12</v>
      </c>
      <c r="B10" s="26" t="s">
        <v>81</v>
      </c>
      <c r="C10" s="279" t="s">
        <v>14</v>
      </c>
      <c r="D10" s="283" t="s">
        <v>15</v>
      </c>
      <c r="E10" s="14">
        <f>+E39</f>
        <v>108572.5</v>
      </c>
      <c r="F10" s="277"/>
    </row>
    <row r="11" spans="1:7" ht="15" customHeight="1" thickBot="1">
      <c r="A11" s="18" t="s">
        <v>16</v>
      </c>
      <c r="B11" s="122" t="s">
        <v>333</v>
      </c>
      <c r="C11" s="279" t="s">
        <v>18</v>
      </c>
      <c r="D11" s="19" t="s">
        <v>19</v>
      </c>
      <c r="E11" s="20">
        <f>+E9-E10</f>
        <v>0</v>
      </c>
      <c r="F11" s="277"/>
    </row>
    <row r="12" spans="1:7" ht="15" customHeight="1" thickTop="1">
      <c r="A12" s="15" t="s">
        <v>20</v>
      </c>
      <c r="B12" s="17"/>
      <c r="C12" s="279" t="s">
        <v>21</v>
      </c>
      <c r="D12" s="284" t="s">
        <v>22</v>
      </c>
      <c r="E12" s="285">
        <f>SUM(C20:C34)-E36</f>
        <v>0</v>
      </c>
      <c r="F12" s="284"/>
    </row>
    <row r="13" spans="1:7" ht="15" customHeight="1">
      <c r="A13" s="277" t="s">
        <v>23</v>
      </c>
      <c r="B13" s="17" t="s">
        <v>82</v>
      </c>
      <c r="C13" s="277" t="s">
        <v>25</v>
      </c>
      <c r="D13" s="286" t="s">
        <v>26</v>
      </c>
      <c r="E13" s="287"/>
      <c r="F13" s="277"/>
    </row>
    <row r="14" spans="1:7" ht="15" customHeight="1">
      <c r="A14" s="277" t="s">
        <v>67</v>
      </c>
      <c r="B14" s="17" t="s">
        <v>83</v>
      </c>
      <c r="C14" s="277"/>
      <c r="D14" s="288" t="s">
        <v>8</v>
      </c>
      <c r="E14" s="289">
        <f>D39-E37</f>
        <v>0</v>
      </c>
      <c r="F14" s="287"/>
    </row>
    <row r="15" spans="1:7" ht="15" customHeight="1">
      <c r="C15" s="278"/>
      <c r="D15" s="279"/>
      <c r="E15" s="279"/>
      <c r="F15" s="277"/>
    </row>
    <row r="16" spans="1:7" ht="15" customHeight="1" thickBot="1">
      <c r="A16" s="7"/>
      <c r="B16" s="339" t="s">
        <v>84</v>
      </c>
      <c r="C16" s="33"/>
      <c r="D16" s="33"/>
      <c r="E16" s="33"/>
      <c r="F16" s="33"/>
      <c r="G16" s="3" t="s">
        <v>379</v>
      </c>
    </row>
    <row r="17" spans="1:6" ht="15" customHeight="1">
      <c r="A17" s="434" t="s">
        <v>30</v>
      </c>
      <c r="B17" s="434" t="s">
        <v>69</v>
      </c>
      <c r="C17" s="434" t="s">
        <v>31</v>
      </c>
      <c r="D17" s="436" t="s">
        <v>32</v>
      </c>
      <c r="E17" s="436" t="s">
        <v>33</v>
      </c>
      <c r="F17" s="430" t="s">
        <v>34</v>
      </c>
    </row>
    <row r="18" spans="1:6" ht="15" customHeight="1" thickBot="1">
      <c r="A18" s="435"/>
      <c r="B18" s="435"/>
      <c r="C18" s="435"/>
      <c r="D18" s="437"/>
      <c r="E18" s="437"/>
      <c r="F18" s="431"/>
    </row>
    <row r="19" spans="1:6" ht="15" customHeight="1">
      <c r="A19" s="145">
        <v>43794</v>
      </c>
      <c r="B19" s="292" t="s">
        <v>342</v>
      </c>
      <c r="C19" s="293"/>
      <c r="D19" s="294">
        <v>37190</v>
      </c>
      <c r="E19" s="146"/>
      <c r="F19" s="295">
        <f>D19-E19</f>
        <v>37190</v>
      </c>
    </row>
    <row r="20" spans="1:6" ht="15" customHeight="1">
      <c r="A20" s="145">
        <v>43860</v>
      </c>
      <c r="B20" s="344" t="s">
        <v>334</v>
      </c>
      <c r="C20" s="391">
        <v>4500</v>
      </c>
      <c r="D20" s="297"/>
      <c r="E20" s="298"/>
      <c r="F20" s="299">
        <f t="shared" ref="F20:F38" si="0">F19+D20-E20</f>
        <v>37190</v>
      </c>
    </row>
    <row r="21" spans="1:6" ht="15" customHeight="1">
      <c r="A21" s="390">
        <v>43860</v>
      </c>
      <c r="B21" s="379" t="s">
        <v>368</v>
      </c>
      <c r="C21" s="377"/>
      <c r="D21" s="381">
        <f>C20*5%*42</f>
        <v>9450</v>
      </c>
      <c r="E21" s="378"/>
      <c r="F21" s="299">
        <f t="shared" si="0"/>
        <v>46640</v>
      </c>
    </row>
    <row r="22" spans="1:6" ht="15" customHeight="1">
      <c r="A22" s="145">
        <v>43889</v>
      </c>
      <c r="B22" s="344" t="s">
        <v>335</v>
      </c>
      <c r="C22" s="391">
        <v>4500</v>
      </c>
      <c r="D22" s="380"/>
      <c r="E22" s="338"/>
      <c r="F22" s="299">
        <f t="shared" si="0"/>
        <v>46640</v>
      </c>
    </row>
    <row r="23" spans="1:6" ht="15" customHeight="1">
      <c r="A23" s="390">
        <v>43889</v>
      </c>
      <c r="B23" s="379" t="s">
        <v>369</v>
      </c>
      <c r="C23" s="377"/>
      <c r="D23" s="381">
        <f>C22*5%*41</f>
        <v>9225</v>
      </c>
      <c r="E23" s="378"/>
      <c r="F23" s="299">
        <f t="shared" si="0"/>
        <v>55865</v>
      </c>
    </row>
    <row r="24" spans="1:6" ht="15" customHeight="1">
      <c r="A24" s="145">
        <v>43920</v>
      </c>
      <c r="B24" s="344" t="s">
        <v>336</v>
      </c>
      <c r="C24" s="391">
        <v>4500</v>
      </c>
      <c r="D24" s="380"/>
      <c r="E24" s="338"/>
      <c r="F24" s="299">
        <f t="shared" si="0"/>
        <v>55865</v>
      </c>
    </row>
    <row r="25" spans="1:6" ht="15" customHeight="1">
      <c r="A25" s="390">
        <v>43920</v>
      </c>
      <c r="B25" s="379" t="s">
        <v>370</v>
      </c>
      <c r="C25" s="377"/>
      <c r="D25" s="381">
        <f>C24*5%*40</f>
        <v>9000</v>
      </c>
      <c r="E25" s="378"/>
      <c r="F25" s="299">
        <f t="shared" si="0"/>
        <v>64865</v>
      </c>
    </row>
    <row r="26" spans="1:6" ht="15" customHeight="1">
      <c r="A26" s="145">
        <v>43951</v>
      </c>
      <c r="B26" s="335" t="s">
        <v>337</v>
      </c>
      <c r="C26" s="391">
        <v>4500</v>
      </c>
      <c r="D26" s="380"/>
      <c r="E26" s="338"/>
      <c r="F26" s="299">
        <f t="shared" si="0"/>
        <v>64865</v>
      </c>
    </row>
    <row r="27" spans="1:6" ht="15" customHeight="1">
      <c r="A27" s="390">
        <v>43951</v>
      </c>
      <c r="B27" s="379" t="s">
        <v>371</v>
      </c>
      <c r="C27" s="377"/>
      <c r="D27" s="381">
        <f>C26*5%*39</f>
        <v>8775</v>
      </c>
      <c r="E27" s="378"/>
      <c r="F27" s="299">
        <f t="shared" si="0"/>
        <v>73640</v>
      </c>
    </row>
    <row r="28" spans="1:6" ht="15" customHeight="1">
      <c r="A28" s="145">
        <v>43981</v>
      </c>
      <c r="B28" s="335" t="s">
        <v>338</v>
      </c>
      <c r="C28" s="391">
        <v>4500</v>
      </c>
      <c r="D28" s="380"/>
      <c r="E28" s="338"/>
      <c r="F28" s="299">
        <f t="shared" si="0"/>
        <v>73640</v>
      </c>
    </row>
    <row r="29" spans="1:6" ht="15" customHeight="1">
      <c r="A29" s="390">
        <v>43981</v>
      </c>
      <c r="B29" s="379" t="s">
        <v>372</v>
      </c>
      <c r="C29" s="377"/>
      <c r="D29" s="381">
        <f>C28*5%*38</f>
        <v>8550</v>
      </c>
      <c r="E29" s="378"/>
      <c r="F29" s="299">
        <f t="shared" si="0"/>
        <v>82190</v>
      </c>
    </row>
    <row r="30" spans="1:6" ht="15" customHeight="1">
      <c r="A30" s="145">
        <v>44012</v>
      </c>
      <c r="B30" s="335" t="s">
        <v>339</v>
      </c>
      <c r="C30" s="391">
        <v>4500</v>
      </c>
      <c r="D30" s="380"/>
      <c r="E30" s="338"/>
      <c r="F30" s="299">
        <f t="shared" si="0"/>
        <v>82190</v>
      </c>
    </row>
    <row r="31" spans="1:6" ht="15" customHeight="1">
      <c r="A31" s="390">
        <v>44012</v>
      </c>
      <c r="B31" s="379" t="s">
        <v>373</v>
      </c>
      <c r="C31" s="377"/>
      <c r="D31" s="381">
        <f>C30*5%*37</f>
        <v>8325</v>
      </c>
      <c r="E31" s="378"/>
      <c r="F31" s="299">
        <f t="shared" si="0"/>
        <v>90515</v>
      </c>
    </row>
    <row r="32" spans="1:6" ht="15" customHeight="1">
      <c r="A32" s="145">
        <v>44043</v>
      </c>
      <c r="B32" s="335" t="s">
        <v>340</v>
      </c>
      <c r="C32" s="391">
        <v>4500</v>
      </c>
      <c r="D32" s="380"/>
      <c r="E32" s="338"/>
      <c r="F32" s="299">
        <f t="shared" si="0"/>
        <v>90515</v>
      </c>
    </row>
    <row r="33" spans="1:6" ht="15" customHeight="1">
      <c r="A33" s="390">
        <v>44043</v>
      </c>
      <c r="B33" s="379" t="s">
        <v>374</v>
      </c>
      <c r="C33" s="377"/>
      <c r="D33" s="381">
        <f>C32*5%*36</f>
        <v>8100</v>
      </c>
      <c r="E33" s="378"/>
      <c r="F33" s="299">
        <f t="shared" si="0"/>
        <v>98615</v>
      </c>
    </row>
    <row r="34" spans="1:6" ht="15" customHeight="1">
      <c r="A34" s="145">
        <v>44073</v>
      </c>
      <c r="B34" s="335" t="s">
        <v>341</v>
      </c>
      <c r="C34" s="363">
        <v>5690</v>
      </c>
      <c r="D34" s="380"/>
      <c r="E34" s="338"/>
      <c r="F34" s="299">
        <f t="shared" si="0"/>
        <v>98615</v>
      </c>
    </row>
    <row r="35" spans="1:6" ht="15" customHeight="1">
      <c r="A35" s="390">
        <v>44073</v>
      </c>
      <c r="B35" s="379" t="s">
        <v>375</v>
      </c>
      <c r="C35" s="336"/>
      <c r="D35" s="381">
        <f>C34*5%*35</f>
        <v>9957.5</v>
      </c>
      <c r="E35" s="338"/>
      <c r="F35" s="299">
        <f t="shared" si="0"/>
        <v>108572.5</v>
      </c>
    </row>
    <row r="36" spans="1:6" ht="15" customHeight="1">
      <c r="A36" s="394">
        <v>45230</v>
      </c>
      <c r="B36" s="395" t="s">
        <v>380</v>
      </c>
      <c r="C36" s="396"/>
      <c r="D36" s="397"/>
      <c r="E36" s="398">
        <v>37190</v>
      </c>
      <c r="F36" s="299">
        <f>F35+D36-E36</f>
        <v>71382.5</v>
      </c>
    </row>
    <row r="37" spans="1:6" ht="15" customHeight="1">
      <c r="A37" s="394">
        <v>45230</v>
      </c>
      <c r="B37" s="395" t="s">
        <v>380</v>
      </c>
      <c r="C37" s="296"/>
      <c r="D37" s="152"/>
      <c r="E37" s="399">
        <v>71382.5</v>
      </c>
      <c r="F37" s="299">
        <f t="shared" si="0"/>
        <v>0</v>
      </c>
    </row>
    <row r="38" spans="1:6" ht="15" customHeight="1" thickBot="1">
      <c r="A38" s="69"/>
      <c r="B38" s="306"/>
      <c r="C38" s="307"/>
      <c r="D38" s="297"/>
      <c r="E38" s="308"/>
      <c r="F38" s="299">
        <f t="shared" si="0"/>
        <v>0</v>
      </c>
    </row>
    <row r="39" spans="1:6" ht="15" customHeight="1" thickBot="1">
      <c r="A39" s="432" t="s">
        <v>61</v>
      </c>
      <c r="B39" s="433"/>
      <c r="C39" s="89">
        <f>SUM(C20:C38)</f>
        <v>37190</v>
      </c>
      <c r="D39" s="166">
        <f>SUM(D20:D38)</f>
        <v>71382.5</v>
      </c>
      <c r="E39" s="90">
        <f>SUM(E20:E38)</f>
        <v>108572.5</v>
      </c>
      <c r="F39" s="90">
        <f>+F38</f>
        <v>0</v>
      </c>
    </row>
    <row r="40" spans="1:6" ht="15" customHeight="1">
      <c r="A40" s="382"/>
      <c r="B40" s="382"/>
      <c r="C40" s="383"/>
      <c r="D40" s="33"/>
      <c r="E40" s="384"/>
      <c r="F40" s="384"/>
    </row>
    <row r="41" spans="1:6" ht="15" customHeight="1">
      <c r="A41" s="382"/>
      <c r="B41" s="382"/>
      <c r="C41" s="383"/>
      <c r="D41" s="33"/>
      <c r="E41" s="384"/>
      <c r="F41" s="384"/>
    </row>
    <row r="42" spans="1:6" ht="15" customHeight="1">
      <c r="A42" s="382"/>
      <c r="B42" s="382"/>
      <c r="C42" s="383"/>
      <c r="D42" s="33"/>
      <c r="E42" s="392" t="s">
        <v>376</v>
      </c>
      <c r="F42" s="384"/>
    </row>
    <row r="43" spans="1:6" ht="15" customHeight="1">
      <c r="A43" s="382"/>
      <c r="B43" s="382"/>
      <c r="C43" s="383"/>
      <c r="D43" s="33"/>
      <c r="E43" s="393" t="s">
        <v>377</v>
      </c>
      <c r="F43" s="384"/>
    </row>
    <row r="44" spans="1:6" ht="15" customHeight="1">
      <c r="C44" s="383"/>
      <c r="D44" s="33"/>
      <c r="E44" s="392" t="s">
        <v>378</v>
      </c>
      <c r="F44" s="384"/>
    </row>
    <row r="45" spans="1:6" ht="15" customHeight="1">
      <c r="A45" s="382"/>
      <c r="B45" s="382"/>
      <c r="C45" s="383"/>
      <c r="D45" s="33"/>
      <c r="E45" s="384"/>
      <c r="F45" s="384"/>
    </row>
    <row r="46" spans="1:6" ht="15" customHeight="1">
      <c r="A46" s="388" t="s">
        <v>364</v>
      </c>
      <c r="B46" s="389" t="s">
        <v>365</v>
      </c>
      <c r="C46" s="309"/>
      <c r="D46" s="310"/>
      <c r="E46" s="310"/>
      <c r="F46" s="277"/>
    </row>
    <row r="47" spans="1:6" ht="15" customHeight="1">
      <c r="E47" s="75">
        <f>D19-E58</f>
        <v>1842.5</v>
      </c>
    </row>
    <row r="48" spans="1:6" s="176" customFormat="1" ht="15" customHeight="1">
      <c r="A48" s="203"/>
      <c r="B48" s="203"/>
      <c r="C48" s="204"/>
    </row>
    <row r="49" spans="1:8" s="176" customFormat="1" ht="15" customHeight="1">
      <c r="B49" s="203"/>
      <c r="C49" s="204"/>
    </row>
    <row r="50" spans="1:8" s="176" customFormat="1" ht="15" customHeight="1">
      <c r="A50" s="205"/>
      <c r="B50" s="206"/>
      <c r="C50" s="207"/>
      <c r="D50" s="175">
        <f ca="1">TODAY()</f>
        <v>45307</v>
      </c>
      <c r="E50" s="208"/>
    </row>
    <row r="51" spans="1:8" s="176" customFormat="1" ht="15" customHeight="1">
      <c r="A51" s="205"/>
      <c r="B51" s="206"/>
      <c r="C51" s="207"/>
      <c r="D51" s="175"/>
      <c r="E51" s="208"/>
    </row>
    <row r="52" spans="1:8" s="176" customFormat="1" ht="15" customHeight="1">
      <c r="B52" s="203"/>
      <c r="C52" s="204"/>
      <c r="D52" s="209" t="s">
        <v>0</v>
      </c>
      <c r="E52" s="209" t="s">
        <v>1</v>
      </c>
    </row>
    <row r="53" spans="1:8" s="176" customFormat="1" ht="15" customHeight="1">
      <c r="A53" s="210" t="s">
        <v>2</v>
      </c>
      <c r="B53" s="211"/>
      <c r="C53" s="176" t="s">
        <v>3</v>
      </c>
      <c r="D53" s="212" t="s">
        <v>4</v>
      </c>
      <c r="E53" s="213">
        <f>+D65</f>
        <v>59629.5</v>
      </c>
    </row>
    <row r="54" spans="1:8" s="176" customFormat="1" ht="15" customHeight="1">
      <c r="A54" s="214" t="s">
        <v>5</v>
      </c>
      <c r="B54" s="211" t="s">
        <v>79</v>
      </c>
      <c r="C54" s="176" t="s">
        <v>7</v>
      </c>
      <c r="D54" s="212" t="s">
        <v>8</v>
      </c>
      <c r="E54" s="213">
        <f>+D132</f>
        <v>33134.449999999997</v>
      </c>
    </row>
    <row r="55" spans="1:8" s="176" customFormat="1" ht="15" customHeight="1">
      <c r="A55" s="214" t="s">
        <v>9</v>
      </c>
      <c r="B55" s="216" t="s">
        <v>80</v>
      </c>
      <c r="C55" s="176" t="s">
        <v>10</v>
      </c>
      <c r="D55" s="212" t="s">
        <v>11</v>
      </c>
      <c r="E55" s="213">
        <f>SUM(E53:E54)</f>
        <v>92763.95</v>
      </c>
    </row>
    <row r="56" spans="1:8" s="176" customFormat="1" ht="15" customHeight="1">
      <c r="A56" s="214" t="s">
        <v>12</v>
      </c>
      <c r="B56" s="216" t="s">
        <v>81</v>
      </c>
      <c r="C56" s="176" t="s">
        <v>14</v>
      </c>
      <c r="D56" s="212" t="s">
        <v>15</v>
      </c>
      <c r="E56" s="213">
        <f>+E132</f>
        <v>35439.360000000001</v>
      </c>
    </row>
    <row r="57" spans="1:8" s="176" customFormat="1" ht="15" customHeight="1" thickBot="1">
      <c r="A57" s="214" t="s">
        <v>16</v>
      </c>
      <c r="B57" s="217"/>
      <c r="C57" s="176" t="s">
        <v>18</v>
      </c>
      <c r="D57" s="218" t="s">
        <v>19</v>
      </c>
      <c r="E57" s="219">
        <f>+E55-E56</f>
        <v>57324.59</v>
      </c>
    </row>
    <row r="58" spans="1:8" s="176" customFormat="1" ht="15" customHeight="1" thickTop="1">
      <c r="A58" s="214" t="s">
        <v>20</v>
      </c>
      <c r="B58" s="216"/>
      <c r="C58" s="176" t="s">
        <v>21</v>
      </c>
      <c r="D58" s="220" t="s">
        <v>22</v>
      </c>
      <c r="E58" s="221">
        <f>SUM(C74:C125)</f>
        <v>35347.5</v>
      </c>
      <c r="F58" s="220"/>
    </row>
    <row r="59" spans="1:8" s="176" customFormat="1" ht="15" customHeight="1">
      <c r="A59" s="176" t="s">
        <v>23</v>
      </c>
      <c r="B59" s="216" t="s">
        <v>82</v>
      </c>
      <c r="C59" s="176" t="s">
        <v>25</v>
      </c>
      <c r="D59" s="223" t="s">
        <v>26</v>
      </c>
      <c r="E59" s="224">
        <f>SUM(C126)</f>
        <v>0</v>
      </c>
    </row>
    <row r="60" spans="1:8" s="176" customFormat="1" ht="15" customHeight="1">
      <c r="A60" s="176" t="s">
        <v>27</v>
      </c>
      <c r="B60" s="216" t="s">
        <v>83</v>
      </c>
      <c r="D60" s="225" t="s">
        <v>8</v>
      </c>
      <c r="E60" s="226">
        <f>D132-(E72+E76+E78+E84+E86+E92+E94+E98+E100+E104+E105+E107+E111+E115+E119+E123+E80+E88)</f>
        <v>21977.089999999997</v>
      </c>
      <c r="F60" s="227"/>
      <c r="G60" s="346"/>
    </row>
    <row r="61" spans="1:8" s="176" customFormat="1" ht="15" customHeight="1">
      <c r="A61" s="418"/>
      <c r="B61" s="418"/>
      <c r="C61" s="418"/>
      <c r="D61" s="418"/>
      <c r="E61" s="418"/>
      <c r="F61" s="418"/>
      <c r="G61" s="347"/>
      <c r="H61" s="347"/>
    </row>
    <row r="62" spans="1:8" s="176" customFormat="1" ht="15" customHeight="1" thickBot="1">
      <c r="A62" s="206"/>
      <c r="B62" s="211" t="s">
        <v>84</v>
      </c>
      <c r="C62" s="228"/>
      <c r="D62" s="229"/>
      <c r="E62" s="230"/>
    </row>
    <row r="63" spans="1:8" s="176" customFormat="1" ht="15" customHeight="1">
      <c r="A63" s="419" t="s">
        <v>30</v>
      </c>
      <c r="B63" s="421"/>
      <c r="C63" s="423" t="s">
        <v>31</v>
      </c>
      <c r="D63" s="425" t="s">
        <v>32</v>
      </c>
      <c r="E63" s="425" t="s">
        <v>33</v>
      </c>
      <c r="F63" s="427" t="s">
        <v>34</v>
      </c>
      <c r="G63" s="348"/>
    </row>
    <row r="64" spans="1:8" s="176" customFormat="1" ht="15" customHeight="1" thickBot="1">
      <c r="A64" s="420"/>
      <c r="B64" s="422"/>
      <c r="C64" s="424"/>
      <c r="D64" s="426"/>
      <c r="E64" s="426"/>
      <c r="F64" s="428"/>
      <c r="G64" s="212"/>
    </row>
    <row r="65" spans="1:8" s="176" customFormat="1" ht="15" customHeight="1">
      <c r="A65" s="231"/>
      <c r="B65" s="232" t="s">
        <v>85</v>
      </c>
      <c r="C65" s="233"/>
      <c r="D65" s="234">
        <v>59629.5</v>
      </c>
      <c r="E65" s="235"/>
      <c r="F65" s="236">
        <f>D65-E65</f>
        <v>59629.5</v>
      </c>
    </row>
    <row r="66" spans="1:8" s="176" customFormat="1" ht="15" customHeight="1">
      <c r="A66" s="231" t="s">
        <v>86</v>
      </c>
      <c r="B66" s="232" t="s">
        <v>87</v>
      </c>
      <c r="C66" s="234">
        <v>16500</v>
      </c>
      <c r="D66" s="234"/>
      <c r="E66" s="235"/>
      <c r="F66" s="238">
        <f>F65+D66-E66</f>
        <v>59629.5</v>
      </c>
      <c r="G66" s="349"/>
    </row>
    <row r="67" spans="1:8" s="176" customFormat="1" ht="15" customHeight="1">
      <c r="A67" s="239" t="s">
        <v>88</v>
      </c>
      <c r="B67" s="239" t="s">
        <v>89</v>
      </c>
      <c r="C67" s="241"/>
      <c r="D67" s="241"/>
      <c r="E67" s="242">
        <v>16500</v>
      </c>
      <c r="F67" s="238">
        <f t="shared" ref="F67:F131" si="1">F66+D67-E67</f>
        <v>43129.5</v>
      </c>
      <c r="G67" s="349"/>
    </row>
    <row r="68" spans="1:8" s="176" customFormat="1" ht="15" customHeight="1">
      <c r="A68" s="231" t="s">
        <v>90</v>
      </c>
      <c r="B68" s="232" t="s">
        <v>91</v>
      </c>
      <c r="C68" s="234">
        <v>3921</v>
      </c>
      <c r="D68" s="350"/>
      <c r="E68" s="242"/>
      <c r="F68" s="238">
        <f t="shared" si="1"/>
        <v>43129.5</v>
      </c>
      <c r="G68" s="349"/>
      <c r="H68" s="349"/>
    </row>
    <row r="69" spans="1:8" s="176" customFormat="1" ht="15" customHeight="1">
      <c r="A69" s="239" t="s">
        <v>92</v>
      </c>
      <c r="B69" s="239" t="s">
        <v>93</v>
      </c>
      <c r="C69" s="241"/>
      <c r="D69" s="350"/>
      <c r="E69" s="242">
        <v>3921</v>
      </c>
      <c r="F69" s="238">
        <f t="shared" si="1"/>
        <v>39208.5</v>
      </c>
      <c r="G69" s="349"/>
      <c r="H69" s="349"/>
    </row>
    <row r="70" spans="1:8" s="176" customFormat="1" ht="15" customHeight="1">
      <c r="A70" s="231" t="s">
        <v>94</v>
      </c>
      <c r="B70" s="232" t="s">
        <v>95</v>
      </c>
      <c r="C70" s="234">
        <v>3861</v>
      </c>
      <c r="D70" s="241"/>
      <c r="E70" s="242"/>
      <c r="F70" s="238">
        <f t="shared" si="1"/>
        <v>39208.5</v>
      </c>
      <c r="G70" s="349"/>
      <c r="H70" s="349"/>
    </row>
    <row r="71" spans="1:8" s="176" customFormat="1" ht="15" customHeight="1">
      <c r="A71" s="351" t="s">
        <v>94</v>
      </c>
      <c r="B71" s="244" t="s">
        <v>96</v>
      </c>
      <c r="C71" s="234"/>
      <c r="D71" s="260">
        <v>193</v>
      </c>
      <c r="E71" s="242"/>
      <c r="F71" s="238">
        <f t="shared" si="1"/>
        <v>39401.5</v>
      </c>
      <c r="G71" s="349"/>
      <c r="H71" s="349"/>
    </row>
    <row r="72" spans="1:8" s="176" customFormat="1" ht="15" customHeight="1">
      <c r="A72" s="352" t="s">
        <v>97</v>
      </c>
      <c r="B72" s="252" t="s">
        <v>98</v>
      </c>
      <c r="C72" s="241"/>
      <c r="D72" s="241"/>
      <c r="E72" s="246">
        <v>193</v>
      </c>
      <c r="F72" s="238">
        <f t="shared" si="1"/>
        <v>39208.5</v>
      </c>
      <c r="G72" s="349"/>
      <c r="H72" s="349"/>
    </row>
    <row r="73" spans="1:8" s="176" customFormat="1" ht="15" customHeight="1">
      <c r="A73" s="352" t="s">
        <v>97</v>
      </c>
      <c r="B73" s="252" t="s">
        <v>99</v>
      </c>
      <c r="C73" s="241"/>
      <c r="D73" s="241"/>
      <c r="E73" s="246">
        <v>3861</v>
      </c>
      <c r="F73" s="238">
        <f t="shared" si="1"/>
        <v>35347.5</v>
      </c>
      <c r="G73" s="349"/>
      <c r="H73" s="349"/>
    </row>
    <row r="74" spans="1:8" s="176" customFormat="1" ht="15" customHeight="1">
      <c r="A74" s="231" t="s">
        <v>100</v>
      </c>
      <c r="B74" s="232" t="s">
        <v>101</v>
      </c>
      <c r="C74" s="234">
        <v>3802</v>
      </c>
      <c r="D74" s="241"/>
      <c r="E74" s="242"/>
      <c r="F74" s="238">
        <f t="shared" si="1"/>
        <v>35347.5</v>
      </c>
      <c r="G74" s="349"/>
    </row>
    <row r="75" spans="1:8" s="176" customFormat="1" ht="15" customHeight="1">
      <c r="A75" s="353" t="s">
        <v>100</v>
      </c>
      <c r="B75" s="244" t="s">
        <v>102</v>
      </c>
      <c r="C75" s="234"/>
      <c r="D75" s="260">
        <f>C74*5%*7</f>
        <v>1330.7000000000003</v>
      </c>
      <c r="E75" s="242"/>
      <c r="F75" s="238">
        <f t="shared" si="1"/>
        <v>36678.199999999997</v>
      </c>
      <c r="G75" s="349" t="s">
        <v>103</v>
      </c>
    </row>
    <row r="76" spans="1:8" s="176" customFormat="1" ht="15" customHeight="1">
      <c r="A76" s="352">
        <v>43150</v>
      </c>
      <c r="B76" s="252" t="s">
        <v>236</v>
      </c>
      <c r="C76" s="234"/>
      <c r="D76" s="260"/>
      <c r="E76" s="246">
        <v>1330.7</v>
      </c>
      <c r="F76" s="238">
        <f t="shared" si="1"/>
        <v>35347.5</v>
      </c>
      <c r="G76" s="349"/>
    </row>
    <row r="77" spans="1:8" s="176" customFormat="1" ht="15" customHeight="1">
      <c r="A77" s="353" t="s">
        <v>104</v>
      </c>
      <c r="B77" s="244" t="s">
        <v>105</v>
      </c>
      <c r="C77" s="234"/>
      <c r="D77" s="260">
        <f>C74*5%*3</f>
        <v>570.30000000000007</v>
      </c>
      <c r="E77" s="246"/>
      <c r="F77" s="238">
        <f t="shared" si="1"/>
        <v>35917.800000000003</v>
      </c>
      <c r="G77" s="349"/>
    </row>
    <row r="78" spans="1:8" s="176" customFormat="1" ht="15" customHeight="1">
      <c r="A78" s="352">
        <v>43238</v>
      </c>
      <c r="B78" s="252" t="s">
        <v>237</v>
      </c>
      <c r="C78" s="234"/>
      <c r="D78" s="260"/>
      <c r="E78" s="246">
        <v>570.29999999999995</v>
      </c>
      <c r="F78" s="238">
        <f t="shared" si="1"/>
        <v>35347.5</v>
      </c>
      <c r="G78" s="349"/>
    </row>
    <row r="79" spans="1:8" s="176" customFormat="1" ht="15" customHeight="1">
      <c r="A79" s="353" t="s">
        <v>106</v>
      </c>
      <c r="B79" s="244" t="s">
        <v>250</v>
      </c>
      <c r="C79" s="234"/>
      <c r="D79" s="260">
        <f>C74*5%*5</f>
        <v>950.50000000000011</v>
      </c>
      <c r="E79" s="246"/>
      <c r="F79" s="238">
        <f t="shared" si="1"/>
        <v>36298</v>
      </c>
      <c r="G79" s="349"/>
    </row>
    <row r="80" spans="1:8" s="176" customFormat="1" ht="15" customHeight="1">
      <c r="A80" s="352">
        <v>43377</v>
      </c>
      <c r="B80" s="252" t="s">
        <v>251</v>
      </c>
      <c r="C80" s="234"/>
      <c r="D80" s="260"/>
      <c r="E80" s="246">
        <v>950.5</v>
      </c>
      <c r="F80" s="238">
        <f t="shared" si="1"/>
        <v>35347.5</v>
      </c>
      <c r="G80" s="349"/>
    </row>
    <row r="81" spans="1:8" s="176" customFormat="1" ht="15" customHeight="1">
      <c r="A81" s="353" t="s">
        <v>262</v>
      </c>
      <c r="B81" s="244" t="s">
        <v>321</v>
      </c>
      <c r="C81" s="234"/>
      <c r="D81" s="260">
        <f>C74*5%*8</f>
        <v>1520.8000000000002</v>
      </c>
      <c r="E81" s="246"/>
      <c r="F81" s="238">
        <f t="shared" si="1"/>
        <v>36868.300000000003</v>
      </c>
      <c r="G81" s="349"/>
    </row>
    <row r="82" spans="1:8" s="176" customFormat="1" ht="15" customHeight="1">
      <c r="A82" s="231" t="s">
        <v>107</v>
      </c>
      <c r="B82" s="232" t="s">
        <v>108</v>
      </c>
      <c r="C82" s="234">
        <v>3743</v>
      </c>
      <c r="D82" s="241"/>
      <c r="E82" s="246"/>
      <c r="F82" s="238">
        <f t="shared" si="1"/>
        <v>36868.300000000003</v>
      </c>
      <c r="G82" s="354" t="s">
        <v>328</v>
      </c>
      <c r="H82" s="349"/>
    </row>
    <row r="83" spans="1:8" s="176" customFormat="1" ht="15" customHeight="1">
      <c r="A83" s="353" t="s">
        <v>107</v>
      </c>
      <c r="B83" s="353" t="s">
        <v>109</v>
      </c>
      <c r="C83" s="234"/>
      <c r="D83" s="260">
        <f>C82*5%*6</f>
        <v>1122.9000000000001</v>
      </c>
      <c r="E83" s="246"/>
      <c r="F83" s="238">
        <f t="shared" si="1"/>
        <v>37991.200000000004</v>
      </c>
      <c r="G83" s="349" t="s">
        <v>110</v>
      </c>
    </row>
    <row r="84" spans="1:8" s="176" customFormat="1" ht="15" customHeight="1">
      <c r="A84" s="352">
        <v>43150</v>
      </c>
      <c r="B84" s="252" t="s">
        <v>236</v>
      </c>
      <c r="C84" s="234"/>
      <c r="D84" s="260"/>
      <c r="E84" s="246">
        <v>1122.9000000000001</v>
      </c>
      <c r="F84" s="238">
        <f t="shared" si="1"/>
        <v>36868.300000000003</v>
      </c>
      <c r="G84" s="349"/>
    </row>
    <row r="85" spans="1:8" s="176" customFormat="1" ht="15" customHeight="1">
      <c r="A85" s="353" t="s">
        <v>104</v>
      </c>
      <c r="B85" s="244" t="s">
        <v>105</v>
      </c>
      <c r="C85" s="234"/>
      <c r="D85" s="260">
        <f>C82*5%*3</f>
        <v>561.45000000000005</v>
      </c>
      <c r="E85" s="246"/>
      <c r="F85" s="238">
        <f t="shared" si="1"/>
        <v>37429.75</v>
      </c>
      <c r="G85" s="349"/>
    </row>
    <row r="86" spans="1:8" s="176" customFormat="1" ht="15" customHeight="1">
      <c r="A86" s="352">
        <v>43238</v>
      </c>
      <c r="B86" s="252" t="s">
        <v>237</v>
      </c>
      <c r="C86" s="234"/>
      <c r="D86" s="260"/>
      <c r="E86" s="246">
        <v>561.45000000000005</v>
      </c>
      <c r="F86" s="238">
        <f t="shared" si="1"/>
        <v>36868.300000000003</v>
      </c>
      <c r="G86" s="349"/>
    </row>
    <row r="87" spans="1:8" s="176" customFormat="1" ht="15" customHeight="1">
      <c r="A87" s="353" t="s">
        <v>106</v>
      </c>
      <c r="B87" s="244" t="s">
        <v>250</v>
      </c>
      <c r="C87" s="234"/>
      <c r="D87" s="260">
        <f>C82*5%*5</f>
        <v>935.75</v>
      </c>
      <c r="E87" s="246"/>
      <c r="F87" s="238">
        <f t="shared" si="1"/>
        <v>37804.050000000003</v>
      </c>
      <c r="G87" s="349"/>
    </row>
    <row r="88" spans="1:8" s="176" customFormat="1" ht="15" customHeight="1">
      <c r="A88" s="352">
        <v>43377</v>
      </c>
      <c r="B88" s="252" t="s">
        <v>251</v>
      </c>
      <c r="C88" s="234"/>
      <c r="D88" s="355">
        <f>D87-E88</f>
        <v>636.25</v>
      </c>
      <c r="E88" s="246">
        <v>299.5</v>
      </c>
      <c r="F88" s="238">
        <f t="shared" si="1"/>
        <v>38140.800000000003</v>
      </c>
      <c r="G88" s="349"/>
    </row>
    <row r="89" spans="1:8" s="176" customFormat="1" ht="15" customHeight="1">
      <c r="A89" s="353" t="s">
        <v>262</v>
      </c>
      <c r="B89" s="244" t="s">
        <v>322</v>
      </c>
      <c r="C89" s="234"/>
      <c r="D89" s="260">
        <f>C82*5%*8</f>
        <v>1497.2</v>
      </c>
      <c r="E89" s="246"/>
      <c r="F89" s="238">
        <f t="shared" si="1"/>
        <v>39638</v>
      </c>
      <c r="G89" s="349"/>
    </row>
    <row r="90" spans="1:8" s="176" customFormat="1" ht="15" customHeight="1">
      <c r="A90" s="231" t="s">
        <v>111</v>
      </c>
      <c r="B90" s="232" t="s">
        <v>112</v>
      </c>
      <c r="C90" s="234">
        <v>3683</v>
      </c>
      <c r="D90" s="239"/>
      <c r="E90" s="246"/>
      <c r="F90" s="238">
        <f t="shared" si="1"/>
        <v>39638</v>
      </c>
      <c r="G90" s="349"/>
      <c r="H90" s="349"/>
    </row>
    <row r="91" spans="1:8" s="176" customFormat="1" ht="15" customHeight="1">
      <c r="A91" s="353" t="s">
        <v>111</v>
      </c>
      <c r="B91" s="353" t="s">
        <v>113</v>
      </c>
      <c r="C91" s="234"/>
      <c r="D91" s="245">
        <f>C90*5%*5</f>
        <v>920.75</v>
      </c>
      <c r="E91" s="246"/>
      <c r="F91" s="238">
        <f t="shared" si="1"/>
        <v>40558.75</v>
      </c>
      <c r="G91" s="349"/>
      <c r="H91" s="349"/>
    </row>
    <row r="92" spans="1:8" s="176" customFormat="1" ht="15" customHeight="1">
      <c r="A92" s="352">
        <v>43150</v>
      </c>
      <c r="B92" s="252" t="s">
        <v>236</v>
      </c>
      <c r="C92" s="234"/>
      <c r="D92" s="245"/>
      <c r="E92" s="246">
        <v>920.75</v>
      </c>
      <c r="F92" s="238">
        <f t="shared" si="1"/>
        <v>39638</v>
      </c>
      <c r="G92" s="349"/>
      <c r="H92" s="349"/>
    </row>
    <row r="93" spans="1:8" s="176" customFormat="1" ht="15" customHeight="1">
      <c r="A93" s="353" t="s">
        <v>104</v>
      </c>
      <c r="B93" s="244" t="s">
        <v>105</v>
      </c>
      <c r="C93" s="234"/>
      <c r="D93" s="245">
        <f>C90*5%*3</f>
        <v>552.45000000000005</v>
      </c>
      <c r="E93" s="246"/>
      <c r="F93" s="238">
        <f t="shared" si="1"/>
        <v>40190.449999999997</v>
      </c>
      <c r="G93" s="349"/>
      <c r="H93" s="349"/>
    </row>
    <row r="94" spans="1:8" s="176" customFormat="1" ht="15" customHeight="1">
      <c r="A94" s="352">
        <v>43238</v>
      </c>
      <c r="B94" s="252" t="s">
        <v>237</v>
      </c>
      <c r="C94" s="234"/>
      <c r="D94" s="245"/>
      <c r="E94" s="246">
        <v>552.45000000000005</v>
      </c>
      <c r="F94" s="238">
        <f t="shared" si="1"/>
        <v>39638</v>
      </c>
      <c r="G94" s="349"/>
      <c r="H94" s="349"/>
    </row>
    <row r="95" spans="1:8" s="176" customFormat="1" ht="15" customHeight="1">
      <c r="A95" s="353" t="s">
        <v>106</v>
      </c>
      <c r="B95" s="244" t="s">
        <v>323</v>
      </c>
      <c r="C95" s="234"/>
      <c r="D95" s="245">
        <f>C90*5%*13</f>
        <v>2393.9500000000003</v>
      </c>
      <c r="E95" s="246"/>
      <c r="F95" s="238">
        <f t="shared" si="1"/>
        <v>42031.95</v>
      </c>
      <c r="G95" s="349"/>
      <c r="H95" s="349"/>
    </row>
    <row r="96" spans="1:8" s="176" customFormat="1" ht="15" customHeight="1">
      <c r="A96" s="231" t="s">
        <v>114</v>
      </c>
      <c r="B96" s="232" t="s">
        <v>115</v>
      </c>
      <c r="C96" s="234">
        <v>3624</v>
      </c>
      <c r="D96" s="234"/>
      <c r="E96" s="246"/>
      <c r="F96" s="238">
        <f t="shared" si="1"/>
        <v>42031.95</v>
      </c>
      <c r="G96" s="349"/>
    </row>
    <row r="97" spans="1:7" s="176" customFormat="1" ht="15" customHeight="1">
      <c r="A97" s="244" t="s">
        <v>114</v>
      </c>
      <c r="B97" s="244" t="s">
        <v>116</v>
      </c>
      <c r="C97" s="234"/>
      <c r="D97" s="245">
        <f>C96*5%*4</f>
        <v>724.80000000000007</v>
      </c>
      <c r="E97" s="246"/>
      <c r="F97" s="238">
        <f t="shared" si="1"/>
        <v>42756.75</v>
      </c>
      <c r="G97" s="349"/>
    </row>
    <row r="98" spans="1:7" s="176" customFormat="1" ht="15" customHeight="1">
      <c r="A98" s="352">
        <v>43150</v>
      </c>
      <c r="B98" s="252" t="s">
        <v>236</v>
      </c>
      <c r="C98" s="234"/>
      <c r="D98" s="245"/>
      <c r="E98" s="246">
        <v>724.8</v>
      </c>
      <c r="F98" s="238">
        <f t="shared" si="1"/>
        <v>42031.95</v>
      </c>
      <c r="G98" s="349"/>
    </row>
    <row r="99" spans="1:7" s="176" customFormat="1" ht="15" customHeight="1">
      <c r="A99" s="353" t="s">
        <v>104</v>
      </c>
      <c r="B99" s="244" t="s">
        <v>105</v>
      </c>
      <c r="C99" s="234"/>
      <c r="D99" s="245">
        <f>C96*5%*3</f>
        <v>543.6</v>
      </c>
      <c r="E99" s="246"/>
      <c r="F99" s="238">
        <f t="shared" si="1"/>
        <v>42575.549999999996</v>
      </c>
      <c r="G99" s="349"/>
    </row>
    <row r="100" spans="1:7" s="176" customFormat="1" ht="15" customHeight="1">
      <c r="A100" s="352">
        <v>43238</v>
      </c>
      <c r="B100" s="252" t="s">
        <v>237</v>
      </c>
      <c r="C100" s="234"/>
      <c r="D100" s="245"/>
      <c r="E100" s="246">
        <v>543.6</v>
      </c>
      <c r="F100" s="238">
        <f t="shared" si="1"/>
        <v>42031.95</v>
      </c>
      <c r="G100" s="349"/>
    </row>
    <row r="101" spans="1:7" s="176" customFormat="1" ht="15" customHeight="1">
      <c r="A101" s="353" t="s">
        <v>106</v>
      </c>
      <c r="B101" s="244" t="s">
        <v>323</v>
      </c>
      <c r="C101" s="234"/>
      <c r="D101" s="245">
        <f>C96*5%*13</f>
        <v>2355.6000000000004</v>
      </c>
      <c r="E101" s="246"/>
      <c r="F101" s="238">
        <f t="shared" si="1"/>
        <v>44387.549999999996</v>
      </c>
      <c r="G101" s="349"/>
    </row>
    <row r="102" spans="1:7" s="176" customFormat="1" ht="15" customHeight="1">
      <c r="A102" s="231" t="s">
        <v>117</v>
      </c>
      <c r="B102" s="232" t="s">
        <v>118</v>
      </c>
      <c r="C102" s="234">
        <v>3564</v>
      </c>
      <c r="D102" s="234"/>
      <c r="E102" s="246"/>
      <c r="F102" s="238">
        <f t="shared" si="1"/>
        <v>44387.549999999996</v>
      </c>
      <c r="G102" s="349"/>
    </row>
    <row r="103" spans="1:7" s="176" customFormat="1" ht="15" customHeight="1">
      <c r="A103" s="244" t="s">
        <v>117</v>
      </c>
      <c r="B103" s="244" t="s">
        <v>119</v>
      </c>
      <c r="C103" s="234"/>
      <c r="D103" s="245">
        <f>C102*5%*3</f>
        <v>534.6</v>
      </c>
      <c r="E103" s="246"/>
      <c r="F103" s="238">
        <f t="shared" si="1"/>
        <v>44922.149999999994</v>
      </c>
      <c r="G103" s="356">
        <f>7000000/1348</f>
        <v>5192.8783382789316</v>
      </c>
    </row>
    <row r="104" spans="1:7" s="176" customFormat="1" ht="15" customHeight="1">
      <c r="A104" s="352">
        <v>43150</v>
      </c>
      <c r="B104" s="252" t="s">
        <v>236</v>
      </c>
      <c r="C104" s="234"/>
      <c r="D104" s="248"/>
      <c r="E104" s="246">
        <v>422.33</v>
      </c>
      <c r="F104" s="238">
        <f t="shared" si="1"/>
        <v>44499.819999999992</v>
      </c>
      <c r="G104" s="356"/>
    </row>
    <row r="105" spans="1:7" s="176" customFormat="1" ht="15" customHeight="1">
      <c r="A105" s="352">
        <v>43238</v>
      </c>
      <c r="B105" s="252" t="s">
        <v>237</v>
      </c>
      <c r="C105" s="234"/>
      <c r="D105" s="248"/>
      <c r="E105" s="246">
        <v>112.27</v>
      </c>
      <c r="F105" s="238">
        <f t="shared" si="1"/>
        <v>44387.549999999996</v>
      </c>
      <c r="G105" s="356"/>
    </row>
    <row r="106" spans="1:7" s="176" customFormat="1" ht="15" customHeight="1">
      <c r="A106" s="353" t="s">
        <v>104</v>
      </c>
      <c r="B106" s="244" t="s">
        <v>105</v>
      </c>
      <c r="C106" s="234"/>
      <c r="D106" s="245">
        <f>C102*5%*3</f>
        <v>534.6</v>
      </c>
      <c r="E106" s="246"/>
      <c r="F106" s="238">
        <f t="shared" si="1"/>
        <v>44922.149999999994</v>
      </c>
      <c r="G106" s="356"/>
    </row>
    <row r="107" spans="1:7" s="176" customFormat="1" ht="15" customHeight="1">
      <c r="A107" s="352">
        <v>43238</v>
      </c>
      <c r="B107" s="252" t="s">
        <v>237</v>
      </c>
      <c r="C107" s="234"/>
      <c r="D107" s="245"/>
      <c r="E107" s="246">
        <v>534.6</v>
      </c>
      <c r="F107" s="238">
        <f t="shared" si="1"/>
        <v>44387.549999999996</v>
      </c>
      <c r="G107" s="356"/>
    </row>
    <row r="108" spans="1:7" s="176" customFormat="1" ht="15" customHeight="1">
      <c r="A108" s="353" t="s">
        <v>106</v>
      </c>
      <c r="B108" s="244" t="s">
        <v>323</v>
      </c>
      <c r="C108" s="234"/>
      <c r="D108" s="245">
        <f>C102*5%*13</f>
        <v>2316.6000000000004</v>
      </c>
      <c r="E108" s="246"/>
      <c r="F108" s="238">
        <f t="shared" si="1"/>
        <v>46704.149999999994</v>
      </c>
      <c r="G108" s="356"/>
    </row>
    <row r="109" spans="1:7" s="176" customFormat="1" ht="15" customHeight="1">
      <c r="A109" s="231" t="s">
        <v>120</v>
      </c>
      <c r="B109" s="232" t="s">
        <v>121</v>
      </c>
      <c r="C109" s="234">
        <v>3505</v>
      </c>
      <c r="D109" s="234"/>
      <c r="E109" s="246"/>
      <c r="F109" s="238">
        <f t="shared" si="1"/>
        <v>46704.149999999994</v>
      </c>
      <c r="G109" s="349">
        <v>5058.55</v>
      </c>
    </row>
    <row r="110" spans="1:7" s="176" customFormat="1" ht="15" customHeight="1">
      <c r="A110" s="244" t="s">
        <v>120</v>
      </c>
      <c r="B110" s="244" t="s">
        <v>122</v>
      </c>
      <c r="C110" s="234"/>
      <c r="D110" s="245">
        <f>C109*5%*5</f>
        <v>876.25</v>
      </c>
      <c r="E110" s="246"/>
      <c r="F110" s="238">
        <f t="shared" si="1"/>
        <v>47580.399999999994</v>
      </c>
      <c r="G110" s="349">
        <f>G103-G109</f>
        <v>134.32833827893137</v>
      </c>
    </row>
    <row r="111" spans="1:7" s="176" customFormat="1" ht="15" customHeight="1">
      <c r="A111" s="352">
        <v>43238</v>
      </c>
      <c r="B111" s="252" t="s">
        <v>237</v>
      </c>
      <c r="C111" s="234"/>
      <c r="D111" s="245"/>
      <c r="E111" s="246">
        <v>876.25</v>
      </c>
      <c r="F111" s="238">
        <f t="shared" si="1"/>
        <v>46704.149999999994</v>
      </c>
      <c r="G111" s="349"/>
    </row>
    <row r="112" spans="1:7" s="176" customFormat="1" ht="15" customHeight="1">
      <c r="A112" s="353" t="s">
        <v>106</v>
      </c>
      <c r="B112" s="244" t="s">
        <v>323</v>
      </c>
      <c r="C112" s="234"/>
      <c r="D112" s="245">
        <f>C109*5%*13</f>
        <v>2278.25</v>
      </c>
      <c r="E112" s="246"/>
      <c r="F112" s="238">
        <f t="shared" si="1"/>
        <v>48982.399999999994</v>
      </c>
      <c r="G112" s="349"/>
    </row>
    <row r="113" spans="1:7" s="176" customFormat="1" ht="15" customHeight="1">
      <c r="A113" s="231" t="s">
        <v>123</v>
      </c>
      <c r="B113" s="232" t="s">
        <v>124</v>
      </c>
      <c r="C113" s="234">
        <v>3446</v>
      </c>
      <c r="D113" s="234"/>
      <c r="E113" s="246"/>
      <c r="F113" s="238">
        <f t="shared" si="1"/>
        <v>48982.399999999994</v>
      </c>
      <c r="G113" s="349"/>
    </row>
    <row r="114" spans="1:7" s="176" customFormat="1" ht="15" customHeight="1">
      <c r="A114" s="244" t="s">
        <v>123</v>
      </c>
      <c r="B114" s="244" t="s">
        <v>125</v>
      </c>
      <c r="C114" s="234"/>
      <c r="D114" s="245">
        <f>C113*5%*4</f>
        <v>689.2</v>
      </c>
      <c r="E114" s="246"/>
      <c r="F114" s="238">
        <f t="shared" si="1"/>
        <v>49671.599999999991</v>
      </c>
      <c r="G114" s="349"/>
    </row>
    <row r="115" spans="1:7" s="176" customFormat="1" ht="15" customHeight="1">
      <c r="A115" s="352">
        <v>43238</v>
      </c>
      <c r="B115" s="252" t="s">
        <v>237</v>
      </c>
      <c r="C115" s="234"/>
      <c r="D115" s="245"/>
      <c r="E115" s="246">
        <v>689.2</v>
      </c>
      <c r="F115" s="238">
        <f t="shared" si="1"/>
        <v>48982.399999999994</v>
      </c>
      <c r="G115" s="349"/>
    </row>
    <row r="116" spans="1:7" s="176" customFormat="1" ht="15" customHeight="1">
      <c r="A116" s="353" t="s">
        <v>106</v>
      </c>
      <c r="B116" s="244" t="s">
        <v>323</v>
      </c>
      <c r="C116" s="234"/>
      <c r="D116" s="245">
        <f>C113*5%*13</f>
        <v>2239.9</v>
      </c>
      <c r="E116" s="246"/>
      <c r="F116" s="238">
        <f t="shared" si="1"/>
        <v>51222.299999999996</v>
      </c>
      <c r="G116" s="349"/>
    </row>
    <row r="117" spans="1:7" s="176" customFormat="1" ht="15" customHeight="1">
      <c r="A117" s="231" t="s">
        <v>104</v>
      </c>
      <c r="B117" s="232" t="s">
        <v>126</v>
      </c>
      <c r="C117" s="234">
        <v>3386</v>
      </c>
      <c r="D117" s="244"/>
      <c r="E117" s="246"/>
      <c r="F117" s="238">
        <f t="shared" si="1"/>
        <v>51222.299999999996</v>
      </c>
      <c r="G117" s="349"/>
    </row>
    <row r="118" spans="1:7" s="176" customFormat="1" ht="15" customHeight="1">
      <c r="A118" s="244" t="s">
        <v>104</v>
      </c>
      <c r="B118" s="244" t="s">
        <v>127</v>
      </c>
      <c r="C118" s="234"/>
      <c r="D118" s="245">
        <f>C117*5%*3</f>
        <v>507.90000000000003</v>
      </c>
      <c r="E118" s="246"/>
      <c r="F118" s="238">
        <f t="shared" si="1"/>
        <v>51730.2</v>
      </c>
      <c r="G118" s="349"/>
    </row>
    <row r="119" spans="1:7" s="176" customFormat="1" ht="15" customHeight="1">
      <c r="A119" s="352">
        <v>43238</v>
      </c>
      <c r="B119" s="252" t="s">
        <v>237</v>
      </c>
      <c r="C119" s="234"/>
      <c r="D119" s="245"/>
      <c r="E119" s="246">
        <v>507.9</v>
      </c>
      <c r="F119" s="238">
        <f t="shared" si="1"/>
        <v>51222.299999999996</v>
      </c>
      <c r="G119" s="349"/>
    </row>
    <row r="120" spans="1:7" s="176" customFormat="1" ht="15" customHeight="1">
      <c r="A120" s="353" t="s">
        <v>106</v>
      </c>
      <c r="B120" s="244" t="s">
        <v>323</v>
      </c>
      <c r="C120" s="234"/>
      <c r="D120" s="245">
        <f>C117*5%*13</f>
        <v>2200.9</v>
      </c>
      <c r="E120" s="246"/>
      <c r="F120" s="238">
        <f t="shared" si="1"/>
        <v>53423.199999999997</v>
      </c>
      <c r="G120" s="349"/>
    </row>
    <row r="121" spans="1:7" s="176" customFormat="1" ht="15" customHeight="1">
      <c r="A121" s="254" t="s">
        <v>128</v>
      </c>
      <c r="B121" s="232" t="s">
        <v>129</v>
      </c>
      <c r="C121" s="234">
        <v>3327</v>
      </c>
      <c r="D121" s="234"/>
      <c r="E121" s="246"/>
      <c r="F121" s="238">
        <f t="shared" si="1"/>
        <v>53423.199999999997</v>
      </c>
      <c r="G121" s="349"/>
    </row>
    <row r="122" spans="1:7" s="176" customFormat="1" ht="15" customHeight="1">
      <c r="A122" s="250">
        <v>43166</v>
      </c>
      <c r="B122" s="357" t="s">
        <v>130</v>
      </c>
      <c r="C122" s="234"/>
      <c r="D122" s="260">
        <v>244.86</v>
      </c>
      <c r="E122" s="246"/>
      <c r="F122" s="238">
        <f t="shared" si="1"/>
        <v>53668.06</v>
      </c>
      <c r="G122" s="349"/>
    </row>
    <row r="123" spans="1:7" s="176" customFormat="1" ht="15" customHeight="1">
      <c r="A123" s="352">
        <v>43238</v>
      </c>
      <c r="B123" s="252" t="s">
        <v>237</v>
      </c>
      <c r="C123" s="234"/>
      <c r="D123" s="355">
        <v>87.84</v>
      </c>
      <c r="E123" s="246">
        <v>244.86</v>
      </c>
      <c r="F123" s="238">
        <f t="shared" si="1"/>
        <v>53511.039999999994</v>
      </c>
      <c r="G123" s="349"/>
    </row>
    <row r="124" spans="1:7" s="176" customFormat="1" ht="15" customHeight="1">
      <c r="A124" s="353" t="s">
        <v>106</v>
      </c>
      <c r="B124" s="244" t="s">
        <v>323</v>
      </c>
      <c r="C124" s="234"/>
      <c r="D124" s="245">
        <f>C121*5%*13</f>
        <v>2162.5500000000002</v>
      </c>
      <c r="E124" s="246"/>
      <c r="F124" s="238">
        <f t="shared" si="1"/>
        <v>55673.59</v>
      </c>
      <c r="G124" s="349"/>
    </row>
    <row r="125" spans="1:7" s="176" customFormat="1" ht="15" customHeight="1">
      <c r="A125" s="254" t="s">
        <v>131</v>
      </c>
      <c r="B125" s="232" t="s">
        <v>132</v>
      </c>
      <c r="C125" s="234">
        <v>3267.5</v>
      </c>
      <c r="D125" s="234"/>
      <c r="E125" s="246"/>
      <c r="F125" s="238">
        <f t="shared" si="1"/>
        <v>55673.59</v>
      </c>
      <c r="G125" s="349"/>
    </row>
    <row r="126" spans="1:7" s="176" customFormat="1" ht="15" customHeight="1">
      <c r="A126" s="250">
        <v>43197</v>
      </c>
      <c r="B126" s="357" t="s">
        <v>324</v>
      </c>
      <c r="C126" s="234"/>
      <c r="D126" s="358">
        <f>C125*5%*14</f>
        <v>2287.25</v>
      </c>
      <c r="E126" s="246"/>
      <c r="F126" s="238">
        <f t="shared" si="1"/>
        <v>57960.84</v>
      </c>
      <c r="G126" s="349"/>
    </row>
    <row r="127" spans="1:7" s="176" customFormat="1" ht="15" customHeight="1">
      <c r="A127" s="352"/>
      <c r="B127" s="252"/>
      <c r="C127" s="234"/>
      <c r="D127" s="359"/>
      <c r="E127" s="246"/>
      <c r="F127" s="238">
        <f t="shared" si="1"/>
        <v>57960.84</v>
      </c>
      <c r="G127" s="349"/>
    </row>
    <row r="128" spans="1:7" s="176" customFormat="1" ht="15" customHeight="1">
      <c r="A128" s="250"/>
      <c r="B128" s="357"/>
      <c r="C128" s="234"/>
      <c r="D128" s="358"/>
      <c r="E128" s="246"/>
      <c r="F128" s="238">
        <f t="shared" si="1"/>
        <v>57960.84</v>
      </c>
      <c r="G128" s="349"/>
    </row>
    <row r="129" spans="1:9" s="176" customFormat="1" ht="15" customHeight="1">
      <c r="A129" s="250"/>
      <c r="B129" s="357"/>
      <c r="C129" s="234"/>
      <c r="D129" s="358"/>
      <c r="E129" s="360"/>
      <c r="F129" s="238">
        <f t="shared" si="1"/>
        <v>57960.84</v>
      </c>
      <c r="G129" s="349"/>
    </row>
    <row r="130" spans="1:9" s="176" customFormat="1" ht="15" customHeight="1">
      <c r="A130" s="250"/>
      <c r="B130" s="357"/>
      <c r="C130" s="234"/>
      <c r="D130" s="358"/>
      <c r="E130" s="360"/>
      <c r="F130" s="238">
        <f t="shared" si="1"/>
        <v>57960.84</v>
      </c>
      <c r="G130" s="349"/>
    </row>
    <row r="131" spans="1:9" s="176" customFormat="1" ht="15" customHeight="1">
      <c r="A131" s="231"/>
      <c r="B131" s="232"/>
      <c r="C131" s="234"/>
      <c r="D131" s="234"/>
      <c r="E131" s="235"/>
      <c r="F131" s="238">
        <f t="shared" si="1"/>
        <v>57960.84</v>
      </c>
      <c r="G131" s="349"/>
    </row>
    <row r="132" spans="1:9" s="176" customFormat="1" ht="15" customHeight="1">
      <c r="A132" s="429" t="s">
        <v>61</v>
      </c>
      <c r="B132" s="429"/>
      <c r="C132" s="264">
        <f>SUM(C66:C131)</f>
        <v>59629.5</v>
      </c>
      <c r="D132" s="264">
        <f>SUM(D66:D131)-D88</f>
        <v>33134.449999999997</v>
      </c>
      <c r="E132" s="265">
        <f>SUM(E66:E131)</f>
        <v>35439.360000000001</v>
      </c>
      <c r="F132" s="265">
        <f>+F131-D88</f>
        <v>57324.59</v>
      </c>
    </row>
    <row r="133" spans="1:9" s="176" customFormat="1" ht="15" customHeight="1">
      <c r="A133" s="203" t="s">
        <v>62</v>
      </c>
      <c r="B133" s="203"/>
      <c r="C133" s="204"/>
    </row>
    <row r="134" spans="1:9" s="176" customFormat="1" ht="15" customHeight="1">
      <c r="A134" s="203"/>
      <c r="B134" s="203"/>
      <c r="C134" s="204"/>
    </row>
    <row r="135" spans="1:9" ht="15" customHeight="1">
      <c r="B135" s="3"/>
      <c r="D135" s="193"/>
      <c r="F135" s="193"/>
    </row>
    <row r="136" spans="1:9" ht="15" customHeight="1">
      <c r="D136" s="75"/>
      <c r="F136" s="2"/>
    </row>
    <row r="138" spans="1:9" s="4" customFormat="1" ht="15" customHeight="1">
      <c r="C138" s="5"/>
      <c r="D138" s="2"/>
      <c r="E138" s="2"/>
      <c r="F138" s="3"/>
      <c r="G138" s="3"/>
      <c r="H138" s="3"/>
      <c r="I138" s="3"/>
    </row>
    <row r="156" spans="1:9" ht="15" customHeight="1">
      <c r="A156" s="94"/>
      <c r="B156" s="94"/>
      <c r="C156" s="95"/>
      <c r="D156" s="13"/>
      <c r="E156" s="13"/>
      <c r="F156" s="37"/>
      <c r="G156" s="37"/>
      <c r="H156" s="37"/>
      <c r="I156" s="37"/>
    </row>
    <row r="157" spans="1:9" ht="15" customHeight="1">
      <c r="A157" s="94"/>
      <c r="B157" s="94"/>
      <c r="C157" s="95"/>
      <c r="D157" s="13"/>
      <c r="E157" s="13"/>
      <c r="F157" s="37"/>
      <c r="G157" s="37"/>
      <c r="H157" s="37"/>
      <c r="I157" s="37"/>
    </row>
    <row r="158" spans="1:9" s="97" customFormat="1" ht="15" customHeight="1">
      <c r="A158" s="96"/>
      <c r="B158" s="96"/>
      <c r="C158" s="96"/>
      <c r="D158" s="26"/>
      <c r="E158" s="96"/>
      <c r="F158" s="96"/>
      <c r="G158" s="96"/>
      <c r="H158" s="96"/>
      <c r="I158" s="26"/>
    </row>
    <row r="159" spans="1:9" s="97" customFormat="1" ht="15" customHeight="1">
      <c r="A159" s="98"/>
      <c r="B159" s="96"/>
      <c r="C159" s="96"/>
      <c r="D159" s="26"/>
      <c r="E159" s="96"/>
      <c r="F159" s="96"/>
      <c r="G159" s="96"/>
      <c r="H159" s="96"/>
      <c r="I159" s="26"/>
    </row>
    <row r="160" spans="1:9" s="97" customFormat="1" ht="15" customHeight="1">
      <c r="A160" s="98"/>
      <c r="B160" s="96"/>
      <c r="C160" s="96"/>
      <c r="D160" s="26"/>
      <c r="E160" s="96"/>
      <c r="F160" s="96"/>
      <c r="G160" s="96"/>
      <c r="H160" s="96"/>
      <c r="I160" s="26"/>
    </row>
    <row r="161" spans="1:9" s="97" customFormat="1" ht="15" customHeight="1">
      <c r="A161" s="99"/>
      <c r="B161" s="96"/>
      <c r="C161" s="96"/>
      <c r="D161" s="96"/>
      <c r="E161" s="96"/>
      <c r="F161" s="96"/>
      <c r="G161" s="96"/>
      <c r="H161" s="96"/>
      <c r="I161" s="26"/>
    </row>
    <row r="162" spans="1:9" s="97" customFormat="1" ht="15" customHeight="1">
      <c r="A162" s="100"/>
      <c r="B162" s="100"/>
      <c r="C162" s="100"/>
      <c r="D162" s="100"/>
      <c r="E162" s="100"/>
      <c r="F162" s="100"/>
      <c r="G162" s="101"/>
      <c r="H162" s="102"/>
      <c r="I162" s="26"/>
    </row>
    <row r="163" spans="1:9" s="97" customFormat="1" ht="15" customHeight="1">
      <c r="A163" s="26"/>
      <c r="B163" s="99"/>
      <c r="C163" s="103"/>
      <c r="D163" s="104"/>
      <c r="E163" s="26"/>
      <c r="F163" s="105"/>
      <c r="G163" s="106"/>
      <c r="H163" s="106"/>
      <c r="I163" s="26"/>
    </row>
    <row r="164" spans="1:9" s="97" customFormat="1" ht="15" customHeight="1">
      <c r="A164" s="26"/>
      <c r="B164" s="99"/>
      <c r="C164" s="103"/>
      <c r="D164" s="104"/>
      <c r="E164" s="26"/>
      <c r="F164" s="106"/>
      <c r="G164" s="106"/>
      <c r="H164" s="106"/>
      <c r="I164" s="26"/>
    </row>
    <row r="165" spans="1:9" s="97" customFormat="1" ht="15" customHeight="1">
      <c r="A165" s="26"/>
      <c r="B165" s="104"/>
      <c r="C165" s="104"/>
      <c r="D165" s="104"/>
      <c r="E165" s="26"/>
      <c r="F165" s="106"/>
      <c r="G165" s="106"/>
      <c r="H165" s="106"/>
      <c r="I165" s="26"/>
    </row>
    <row r="166" spans="1:9" s="97" customFormat="1" ht="15" customHeight="1">
      <c r="A166" s="26"/>
      <c r="B166" s="104"/>
      <c r="C166" s="107"/>
      <c r="D166" s="104"/>
      <c r="E166" s="26"/>
      <c r="F166" s="106"/>
      <c r="G166" s="106"/>
      <c r="H166" s="104"/>
      <c r="I166" s="26"/>
    </row>
    <row r="167" spans="1:9" s="97" customFormat="1" ht="15" customHeight="1">
      <c r="A167" s="26"/>
      <c r="B167" s="104"/>
      <c r="C167" s="107"/>
      <c r="D167" s="104"/>
      <c r="E167" s="26"/>
      <c r="F167" s="106"/>
      <c r="G167" s="108"/>
      <c r="H167" s="104"/>
      <c r="I167" s="26"/>
    </row>
    <row r="168" spans="1:9" s="97" customFormat="1" ht="15" customHeight="1">
      <c r="A168" s="26"/>
      <c r="B168" s="104"/>
      <c r="C168" s="107"/>
      <c r="D168" s="104"/>
      <c r="E168" s="26"/>
      <c r="F168" s="106"/>
      <c r="G168" s="106"/>
      <c r="H168" s="104"/>
      <c r="I168" s="26"/>
    </row>
    <row r="169" spans="1:9" s="97" customFormat="1" ht="15" customHeight="1">
      <c r="A169" s="26"/>
      <c r="B169" s="26"/>
      <c r="C169" s="26"/>
      <c r="D169" s="104"/>
      <c r="E169" s="26"/>
      <c r="F169" s="106"/>
      <c r="G169" s="106"/>
      <c r="H169" s="109"/>
      <c r="I169" s="26"/>
    </row>
    <row r="170" spans="1:9" s="97" customFormat="1" ht="15" customHeight="1">
      <c r="A170" s="26"/>
      <c r="B170" s="110"/>
      <c r="C170" s="110"/>
      <c r="D170" s="26"/>
      <c r="E170" s="26"/>
      <c r="F170" s="106"/>
      <c r="G170" s="106"/>
      <c r="H170" s="106"/>
      <c r="I170" s="26"/>
    </row>
    <row r="171" spans="1:9" s="97" customFormat="1" ht="15" customHeight="1">
      <c r="A171" s="26"/>
      <c r="B171" s="110"/>
      <c r="C171" s="110"/>
      <c r="D171" s="110"/>
      <c r="E171" s="110"/>
      <c r="F171" s="110"/>
      <c r="G171" s="106"/>
      <c r="H171" s="106"/>
      <c r="I171" s="26"/>
    </row>
    <row r="172" spans="1:9" s="97" customFormat="1" ht="15" customHeight="1">
      <c r="A172" s="416"/>
      <c r="B172" s="416"/>
      <c r="C172" s="416"/>
      <c r="D172" s="416"/>
      <c r="E172" s="416"/>
      <c r="F172" s="416"/>
      <c r="G172" s="111"/>
      <c r="H172" s="112"/>
      <c r="I172" s="26"/>
    </row>
    <row r="173" spans="1:9" s="97" customFormat="1" ht="15" customHeight="1">
      <c r="A173" s="26"/>
      <c r="B173" s="417"/>
      <c r="C173" s="417"/>
      <c r="D173" s="417"/>
      <c r="E173" s="113"/>
      <c r="F173" s="26"/>
      <c r="G173" s="26"/>
      <c r="H173" s="106"/>
      <c r="I173" s="26"/>
    </row>
    <row r="174" spans="1:9" s="97" customFormat="1" ht="15" customHeight="1">
      <c r="A174" s="26"/>
      <c r="B174" s="114"/>
      <c r="C174" s="114"/>
      <c r="D174" s="114"/>
      <c r="E174" s="113"/>
      <c r="F174" s="26"/>
      <c r="G174" s="26"/>
      <c r="H174" s="106"/>
      <c r="I174" s="26"/>
    </row>
    <row r="175" spans="1:9" s="97" customFormat="1" ht="15" customHeight="1">
      <c r="A175" s="26"/>
      <c r="B175" s="115"/>
      <c r="C175" s="114"/>
      <c r="D175" s="114"/>
      <c r="E175" s="113"/>
      <c r="F175" s="108"/>
      <c r="G175" s="26"/>
      <c r="H175" s="106"/>
      <c r="I175" s="26"/>
    </row>
    <row r="176" spans="1:9" s="97" customFormat="1" ht="15" customHeight="1">
      <c r="A176" s="26"/>
      <c r="B176" s="115"/>
      <c r="C176" s="114"/>
      <c r="D176" s="114"/>
      <c r="E176" s="113"/>
      <c r="F176" s="108"/>
      <c r="G176" s="106"/>
      <c r="H176" s="106"/>
      <c r="I176" s="26"/>
    </row>
    <row r="177" spans="1:9" s="97" customFormat="1" ht="15" customHeight="1">
      <c r="A177" s="26"/>
      <c r="B177" s="115"/>
      <c r="C177" s="114"/>
      <c r="D177" s="114"/>
      <c r="E177" s="113"/>
      <c r="F177" s="108"/>
      <c r="G177" s="106"/>
      <c r="H177" s="106"/>
      <c r="I177" s="26"/>
    </row>
    <row r="178" spans="1:9" s="97" customFormat="1" ht="15" customHeight="1">
      <c r="A178" s="26"/>
      <c r="B178" s="99"/>
      <c r="C178" s="116"/>
      <c r="D178" s="104"/>
      <c r="E178" s="102"/>
      <c r="F178" s="108"/>
      <c r="G178" s="117"/>
      <c r="H178" s="118"/>
      <c r="I178" s="26"/>
    </row>
    <row r="179" spans="1:9" s="97" customFormat="1" ht="15" customHeight="1">
      <c r="A179" s="416"/>
      <c r="B179" s="416"/>
      <c r="C179" s="416"/>
      <c r="D179" s="416"/>
      <c r="E179" s="416"/>
      <c r="F179" s="416"/>
      <c r="G179" s="111"/>
      <c r="H179" s="119"/>
      <c r="I179" s="26"/>
    </row>
    <row r="180" spans="1:9" s="97" customFormat="1" ht="15" customHeight="1">
      <c r="A180" s="416"/>
      <c r="B180" s="416"/>
      <c r="C180" s="416"/>
      <c r="D180" s="416"/>
      <c r="E180" s="416"/>
      <c r="F180" s="26"/>
      <c r="G180" s="120"/>
      <c r="H180" s="113"/>
      <c r="I180" s="26"/>
    </row>
    <row r="181" spans="1:9" ht="15" customHeight="1">
      <c r="A181" s="94"/>
      <c r="B181" s="94"/>
      <c r="C181" s="95"/>
      <c r="D181" s="13"/>
      <c r="E181" s="13"/>
      <c r="F181" s="37"/>
      <c r="G181" s="37"/>
      <c r="H181" s="37"/>
      <c r="I181" s="37"/>
    </row>
    <row r="182" spans="1:9" ht="15" customHeight="1">
      <c r="A182" s="94"/>
      <c r="B182" s="94"/>
      <c r="C182" s="95"/>
      <c r="D182" s="13"/>
      <c r="E182" s="13"/>
      <c r="F182" s="37"/>
      <c r="G182" s="37"/>
      <c r="H182" s="37"/>
      <c r="I182" s="37"/>
    </row>
  </sheetData>
  <mergeCells count="19">
    <mergeCell ref="F17:F18"/>
    <mergeCell ref="A39:B39"/>
    <mergeCell ref="A17:A18"/>
    <mergeCell ref="B17:B18"/>
    <mergeCell ref="C17:C18"/>
    <mergeCell ref="D17:D18"/>
    <mergeCell ref="E17:E18"/>
    <mergeCell ref="A132:B132"/>
    <mergeCell ref="A172:F172"/>
    <mergeCell ref="B173:D173"/>
    <mergeCell ref="A179:F179"/>
    <mergeCell ref="A180:E180"/>
    <mergeCell ref="A61:F61"/>
    <mergeCell ref="A63:A64"/>
    <mergeCell ref="B63:B64"/>
    <mergeCell ref="C63:C64"/>
    <mergeCell ref="D63:D64"/>
    <mergeCell ref="E63:E64"/>
    <mergeCell ref="F63:F64"/>
  </mergeCells>
  <printOptions horizontalCentered="1"/>
  <pageMargins left="0" right="0" top="0" bottom="0" header="0.3" footer="0.3"/>
  <pageSetup paperSize="9" scale="85" orientation="landscape" horizontalDpi="300" verticalDpi="300" r:id="rId1"/>
  <ignoredErrors>
    <ignoredError sqref="D132" formula="1"/>
    <ignoredError sqref="D39" formulaRange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80"/>
  <sheetViews>
    <sheetView topLeftCell="A13" workbookViewId="0">
      <selection activeCell="B36" sqref="B36"/>
    </sheetView>
  </sheetViews>
  <sheetFormatPr defaultRowHeight="15" customHeight="1"/>
  <cols>
    <col min="1" max="1" width="15.85546875" style="97" customWidth="1"/>
    <col min="2" max="2" width="115.85546875" style="97" customWidth="1"/>
    <col min="3" max="3" width="21.140625" style="97" customWidth="1"/>
    <col min="4" max="4" width="18" style="97" customWidth="1"/>
    <col min="5" max="5" width="17" style="97" customWidth="1"/>
    <col min="6" max="6" width="15" style="97" customWidth="1"/>
    <col min="7" max="16384" width="9.140625" style="97"/>
  </cols>
  <sheetData>
    <row r="3" spans="1:7" ht="15" customHeight="1">
      <c r="A3" s="3"/>
      <c r="B3" s="4"/>
      <c r="C3" s="5"/>
      <c r="D3" s="2"/>
      <c r="E3" s="2"/>
      <c r="F3" s="3"/>
      <c r="G3" s="3"/>
    </row>
    <row r="4" spans="1:7" ht="15" customHeight="1">
      <c r="A4" s="6"/>
      <c r="B4" s="7"/>
      <c r="C4" s="8"/>
      <c r="D4" s="9">
        <f ca="1">TODAY()</f>
        <v>45307</v>
      </c>
      <c r="E4" s="10"/>
      <c r="F4" s="3"/>
      <c r="G4" s="3"/>
    </row>
    <row r="5" spans="1:7" ht="15" customHeight="1">
      <c r="A5" s="6"/>
      <c r="B5" s="7"/>
      <c r="C5" s="8"/>
      <c r="D5" s="9"/>
      <c r="E5" s="10"/>
      <c r="F5" s="3"/>
      <c r="G5" s="3"/>
    </row>
    <row r="6" spans="1:7" ht="15" customHeight="1">
      <c r="A6" s="3"/>
      <c r="B6" s="4"/>
      <c r="C6" s="5"/>
      <c r="D6" s="11" t="s">
        <v>0</v>
      </c>
      <c r="E6" s="11" t="s">
        <v>1</v>
      </c>
      <c r="F6" s="3"/>
      <c r="G6" s="3"/>
    </row>
    <row r="7" spans="1:7" ht="15" customHeight="1">
      <c r="A7" s="12" t="s">
        <v>2</v>
      </c>
      <c r="B7" s="4"/>
      <c r="C7" s="2" t="s">
        <v>3</v>
      </c>
      <c r="D7" s="13" t="s">
        <v>4</v>
      </c>
      <c r="E7" s="14">
        <f>D19</f>
        <v>52217.55</v>
      </c>
      <c r="F7" s="3"/>
      <c r="G7" s="3"/>
    </row>
    <row r="8" spans="1:7" ht="15" customHeight="1">
      <c r="A8" s="15" t="s">
        <v>5</v>
      </c>
      <c r="B8" s="96" t="s">
        <v>63</v>
      </c>
      <c r="C8" s="2" t="s">
        <v>7</v>
      </c>
      <c r="D8" s="13" t="s">
        <v>8</v>
      </c>
      <c r="E8" s="14">
        <f>+D33</f>
        <v>3.7499999999681677E-3</v>
      </c>
      <c r="F8" s="3"/>
      <c r="G8" s="3"/>
    </row>
    <row r="9" spans="1:7" ht="15" customHeight="1">
      <c r="A9" s="15" t="s">
        <v>9</v>
      </c>
      <c r="B9" s="140" t="s">
        <v>64</v>
      </c>
      <c r="C9" s="2" t="s">
        <v>10</v>
      </c>
      <c r="D9" s="13" t="s">
        <v>11</v>
      </c>
      <c r="E9" s="14">
        <f>SUM(E7:E8)</f>
        <v>52217.553750000006</v>
      </c>
      <c r="F9" s="3"/>
      <c r="G9" s="3"/>
    </row>
    <row r="10" spans="1:7" ht="15" customHeight="1">
      <c r="A10" s="18" t="s">
        <v>12</v>
      </c>
      <c r="B10" s="141" t="s">
        <v>65</v>
      </c>
      <c r="C10" s="2" t="s">
        <v>14</v>
      </c>
      <c r="D10" s="13" t="s">
        <v>15</v>
      </c>
      <c r="E10" s="14">
        <f>+E33</f>
        <v>52217.55</v>
      </c>
      <c r="F10" s="3"/>
      <c r="G10" s="3"/>
    </row>
    <row r="11" spans="1:7" ht="15" customHeight="1" thickBot="1">
      <c r="A11" s="18" t="s">
        <v>16</v>
      </c>
      <c r="B11" s="18"/>
      <c r="C11" s="2" t="s">
        <v>18</v>
      </c>
      <c r="D11" s="19" t="s">
        <v>19</v>
      </c>
      <c r="E11" s="20">
        <f>+E9-E10</f>
        <v>3.7500000034924597E-3</v>
      </c>
      <c r="F11" s="3"/>
      <c r="G11" s="3"/>
    </row>
    <row r="12" spans="1:7" ht="15" customHeight="1" thickTop="1">
      <c r="A12" s="15" t="s">
        <v>20</v>
      </c>
      <c r="C12" s="2" t="s">
        <v>21</v>
      </c>
      <c r="D12" s="22" t="s">
        <v>22</v>
      </c>
      <c r="E12" s="23"/>
      <c r="F12" s="22"/>
      <c r="G12" s="3"/>
    </row>
    <row r="13" spans="1:7" ht="15" customHeight="1">
      <c r="A13" s="3" t="s">
        <v>23</v>
      </c>
      <c r="B13" s="142" t="s">
        <v>66</v>
      </c>
      <c r="C13" s="3" t="s">
        <v>25</v>
      </c>
      <c r="D13" s="27" t="s">
        <v>26</v>
      </c>
      <c r="E13" s="28"/>
      <c r="F13" s="3"/>
      <c r="G13" s="3"/>
    </row>
    <row r="14" spans="1:7" ht="15" customHeight="1">
      <c r="A14" s="3" t="s">
        <v>67</v>
      </c>
      <c r="B14" s="4" t="s">
        <v>68</v>
      </c>
      <c r="C14" s="3"/>
      <c r="D14" s="143" t="s">
        <v>8</v>
      </c>
      <c r="E14" s="144">
        <f>D30</f>
        <v>315.48874999999998</v>
      </c>
      <c r="F14" s="28"/>
      <c r="G14" s="3"/>
    </row>
    <row r="15" spans="1:7" ht="15" customHeight="1">
      <c r="A15" s="4"/>
      <c r="B15" s="4"/>
      <c r="C15" s="5"/>
      <c r="D15" s="2"/>
      <c r="E15" s="2"/>
      <c r="F15" s="3"/>
      <c r="G15" s="33"/>
    </row>
    <row r="16" spans="1:7" ht="15" customHeight="1" thickBot="1">
      <c r="A16" s="7"/>
      <c r="B16" s="33" t="s">
        <v>249</v>
      </c>
      <c r="C16" s="33"/>
      <c r="D16" s="33"/>
      <c r="E16" s="33"/>
      <c r="F16" s="33"/>
      <c r="G16" s="33"/>
    </row>
    <row r="17" spans="1:7" ht="15" customHeight="1">
      <c r="A17" s="408" t="s">
        <v>30</v>
      </c>
      <c r="B17" s="408" t="s">
        <v>69</v>
      </c>
      <c r="C17" s="408" t="s">
        <v>31</v>
      </c>
      <c r="D17" s="410" t="s">
        <v>32</v>
      </c>
      <c r="E17" s="410" t="s">
        <v>33</v>
      </c>
      <c r="F17" s="412" t="s">
        <v>34</v>
      </c>
      <c r="G17" s="37"/>
    </row>
    <row r="18" spans="1:7" ht="15" customHeight="1" thickBot="1">
      <c r="A18" s="409"/>
      <c r="B18" s="409"/>
      <c r="C18" s="409"/>
      <c r="D18" s="411"/>
      <c r="E18" s="411"/>
      <c r="F18" s="413"/>
      <c r="G18" s="125"/>
    </row>
    <row r="19" spans="1:7" ht="15" customHeight="1">
      <c r="A19" s="145" t="s">
        <v>70</v>
      </c>
      <c r="B19" s="78" t="s">
        <v>71</v>
      </c>
      <c r="C19" s="40"/>
      <c r="D19" s="42">
        <v>52217.55</v>
      </c>
      <c r="F19" s="43">
        <f>D19-E19</f>
        <v>52217.55</v>
      </c>
      <c r="G19" s="3"/>
    </row>
    <row r="20" spans="1:7" ht="15" customHeight="1">
      <c r="A20" s="146"/>
      <c r="B20" s="78" t="s">
        <v>72</v>
      </c>
      <c r="C20" s="147">
        <v>11750</v>
      </c>
      <c r="D20" s="47"/>
      <c r="E20" s="48"/>
      <c r="F20" s="49">
        <f t="shared" ref="F20:F32" si="0">F19+D20-E20</f>
        <v>52217.55</v>
      </c>
      <c r="G20" s="3"/>
    </row>
    <row r="21" spans="1:7" ht="15" customHeight="1">
      <c r="A21" s="148" t="s">
        <v>73</v>
      </c>
      <c r="B21" s="149" t="s">
        <v>240</v>
      </c>
      <c r="C21" s="150"/>
      <c r="D21" s="151"/>
      <c r="E21" s="54">
        <v>11750</v>
      </c>
      <c r="F21" s="49">
        <f t="shared" si="0"/>
        <v>40467.550000000003</v>
      </c>
      <c r="G21" s="3"/>
    </row>
    <row r="22" spans="1:7" ht="15" customHeight="1">
      <c r="A22" s="145" t="s">
        <v>74</v>
      </c>
      <c r="B22" s="78" t="s">
        <v>75</v>
      </c>
      <c r="C22" s="147">
        <v>14359</v>
      </c>
      <c r="D22" s="152"/>
      <c r="E22" s="153"/>
      <c r="F22" s="49">
        <f t="shared" si="0"/>
        <v>40467.550000000003</v>
      </c>
      <c r="G22" s="3"/>
    </row>
    <row r="23" spans="1:7" ht="15" customHeight="1">
      <c r="A23" s="148">
        <v>43305</v>
      </c>
      <c r="B23" s="149" t="s">
        <v>239</v>
      </c>
      <c r="C23" s="147"/>
      <c r="D23" s="152"/>
      <c r="E23" s="54">
        <v>14359</v>
      </c>
      <c r="F23" s="49">
        <f t="shared" si="0"/>
        <v>26108.550000000003</v>
      </c>
      <c r="G23" s="3"/>
    </row>
    <row r="24" spans="1:7" ht="15" customHeight="1">
      <c r="A24" s="145">
        <v>43418</v>
      </c>
      <c r="B24" s="78" t="s">
        <v>76</v>
      </c>
      <c r="C24" s="154">
        <v>13489</v>
      </c>
      <c r="D24" s="155"/>
      <c r="E24" s="156"/>
      <c r="F24" s="49">
        <f t="shared" si="0"/>
        <v>26108.550000000003</v>
      </c>
      <c r="G24" s="3"/>
    </row>
    <row r="25" spans="1:7" ht="15" customHeight="1">
      <c r="A25" s="135">
        <v>43418</v>
      </c>
      <c r="B25" s="136" t="s">
        <v>265</v>
      </c>
      <c r="C25" s="154"/>
      <c r="D25" s="157">
        <f>C24*5%/2</f>
        <v>337.22500000000002</v>
      </c>
      <c r="E25" s="156"/>
      <c r="F25" s="49">
        <f t="shared" si="0"/>
        <v>26445.775000000001</v>
      </c>
      <c r="G25" s="3"/>
    </row>
    <row r="26" spans="1:7" ht="15" customHeight="1">
      <c r="A26" s="158">
        <v>43458</v>
      </c>
      <c r="B26" s="1" t="s">
        <v>266</v>
      </c>
      <c r="C26" s="154"/>
      <c r="D26" s="159">
        <v>-337.23</v>
      </c>
      <c r="E26" s="156"/>
      <c r="F26" s="49">
        <f t="shared" si="0"/>
        <v>26108.545000000002</v>
      </c>
      <c r="G26" s="3"/>
    </row>
    <row r="27" spans="1:7" ht="15" customHeight="1">
      <c r="A27" s="148">
        <v>43454</v>
      </c>
      <c r="B27" s="149" t="s">
        <v>264</v>
      </c>
      <c r="C27" s="160"/>
      <c r="D27" s="155"/>
      <c r="E27" s="54">
        <v>13489</v>
      </c>
      <c r="F27" s="49">
        <f t="shared" si="0"/>
        <v>12619.545000000002</v>
      </c>
      <c r="G27" s="3"/>
    </row>
    <row r="28" spans="1:7" ht="15" customHeight="1">
      <c r="A28" s="145" t="s">
        <v>77</v>
      </c>
      <c r="B28" s="80" t="s">
        <v>78</v>
      </c>
      <c r="C28" s="161">
        <v>12619.55</v>
      </c>
      <c r="D28" s="152"/>
      <c r="E28" s="162"/>
      <c r="F28" s="49">
        <f t="shared" si="0"/>
        <v>12619.545000000002</v>
      </c>
      <c r="G28" s="3"/>
    </row>
    <row r="29" spans="1:7" ht="15" customHeight="1">
      <c r="A29" s="148">
        <v>43579</v>
      </c>
      <c r="B29" s="149" t="s">
        <v>319</v>
      </c>
      <c r="C29" s="163"/>
      <c r="D29" s="164"/>
      <c r="E29" s="54">
        <v>12619.55</v>
      </c>
      <c r="F29" s="49">
        <f t="shared" si="0"/>
        <v>-4.9999999973806553E-3</v>
      </c>
      <c r="G29" s="3"/>
    </row>
    <row r="30" spans="1:7" ht="15" customHeight="1">
      <c r="A30" s="135">
        <v>43538</v>
      </c>
      <c r="B30" s="136" t="s">
        <v>318</v>
      </c>
      <c r="C30" s="163"/>
      <c r="D30" s="341">
        <f>C28*5%/2</f>
        <v>315.48874999999998</v>
      </c>
      <c r="E30" s="165"/>
      <c r="F30" s="49">
        <f t="shared" si="0"/>
        <v>315.4837500000026</v>
      </c>
      <c r="G30" s="3"/>
    </row>
    <row r="31" spans="1:7" ht="15" customHeight="1">
      <c r="A31" s="158">
        <v>43776</v>
      </c>
      <c r="B31" s="1" t="s">
        <v>332</v>
      </c>
      <c r="C31" s="160"/>
      <c r="D31" s="159">
        <v>-315.48</v>
      </c>
      <c r="E31" s="162"/>
      <c r="F31" s="49">
        <f>F30+D31-E31</f>
        <v>3.750000002582965E-3</v>
      </c>
      <c r="G31" s="3"/>
    </row>
    <row r="32" spans="1:7" ht="15" customHeight="1" thickBot="1">
      <c r="A32" s="69"/>
      <c r="B32" s="45"/>
      <c r="C32" s="46"/>
      <c r="D32" s="47"/>
      <c r="E32" s="58"/>
      <c r="F32" s="49">
        <f t="shared" si="0"/>
        <v>3.750000002582965E-3</v>
      </c>
      <c r="G32" s="3"/>
    </row>
    <row r="33" spans="1:7" ht="15" customHeight="1" thickBot="1">
      <c r="A33" s="432" t="s">
        <v>61</v>
      </c>
      <c r="B33" s="433"/>
      <c r="C33" s="89">
        <f>SUM(C20:C32)</f>
        <v>52217.55</v>
      </c>
      <c r="D33" s="166">
        <f>SUM(D20:D32)</f>
        <v>3.7499999999681677E-3</v>
      </c>
      <c r="E33" s="90">
        <f>SUM(E20:E32)</f>
        <v>52217.55</v>
      </c>
      <c r="F33" s="90">
        <f>+F32</f>
        <v>3.750000002582965E-3</v>
      </c>
      <c r="G33" s="3"/>
    </row>
    <row r="34" spans="1:7" ht="15" customHeight="1">
      <c r="A34" s="167"/>
      <c r="B34" s="167"/>
      <c r="C34" s="168"/>
      <c r="D34" s="169"/>
      <c r="E34" s="169"/>
      <c r="F34" s="3"/>
      <c r="G34" s="3"/>
    </row>
    <row r="35" spans="1:7" ht="15" customHeight="1">
      <c r="A35" s="4"/>
      <c r="B35" s="4"/>
      <c r="C35" s="5"/>
      <c r="D35" s="75"/>
      <c r="E35" s="2"/>
      <c r="F35" s="3"/>
      <c r="G35" s="3"/>
    </row>
    <row r="36" spans="1:7" ht="15" customHeight="1">
      <c r="A36" s="4"/>
      <c r="B36" s="4"/>
      <c r="C36" s="5"/>
      <c r="D36" s="75"/>
      <c r="E36" s="2"/>
      <c r="F36" s="3"/>
      <c r="G36" s="3"/>
    </row>
    <row r="37" spans="1:7" ht="15" customHeight="1">
      <c r="A37" s="170"/>
      <c r="B37" s="4"/>
      <c r="C37" s="5"/>
      <c r="D37" s="2"/>
      <c r="E37" s="2"/>
      <c r="F37" s="3"/>
      <c r="G37" s="3"/>
    </row>
    <row r="38" spans="1:7" ht="15" hidden="1" customHeight="1">
      <c r="A38" s="170">
        <v>43295</v>
      </c>
      <c r="B38" s="4" t="s">
        <v>235</v>
      </c>
      <c r="C38" s="171"/>
      <c r="D38" s="75"/>
      <c r="E38" s="75"/>
      <c r="F38" s="3"/>
      <c r="G38" s="3"/>
    </row>
    <row r="39" spans="1:7" ht="15" hidden="1" customHeight="1">
      <c r="A39" s="172">
        <v>43563</v>
      </c>
      <c r="B39" s="4" t="s">
        <v>316</v>
      </c>
      <c r="C39" s="5"/>
      <c r="D39" s="2"/>
      <c r="E39" s="75"/>
      <c r="F39" s="3"/>
      <c r="G39" s="3"/>
    </row>
    <row r="40" spans="1:7" ht="15" customHeight="1">
      <c r="A40" s="172">
        <v>43732</v>
      </c>
      <c r="B40" s="4" t="s">
        <v>329</v>
      </c>
      <c r="C40" s="5"/>
      <c r="D40" s="2"/>
      <c r="E40" s="75"/>
      <c r="F40" s="3"/>
      <c r="G40" s="3"/>
    </row>
    <row r="41" spans="1:7" ht="15" customHeight="1">
      <c r="A41" s="4"/>
      <c r="B41" s="4" t="s">
        <v>330</v>
      </c>
      <c r="C41" s="5"/>
      <c r="D41" s="2"/>
      <c r="E41" s="2"/>
      <c r="F41" s="3"/>
      <c r="G41" s="3"/>
    </row>
    <row r="42" spans="1:7" ht="15" customHeight="1">
      <c r="A42" s="4"/>
      <c r="B42" s="4"/>
      <c r="C42" s="5"/>
      <c r="D42" s="2"/>
      <c r="E42" s="2"/>
      <c r="F42" s="3"/>
      <c r="G42" s="3"/>
    </row>
    <row r="43" spans="1:7" ht="15" customHeight="1">
      <c r="A43" s="4"/>
      <c r="B43" s="4"/>
      <c r="C43" s="5"/>
      <c r="D43" s="2"/>
      <c r="E43" s="2"/>
      <c r="F43" s="3"/>
      <c r="G43" s="3"/>
    </row>
    <row r="44" spans="1:7" ht="15" customHeight="1">
      <c r="A44" s="4"/>
      <c r="B44" s="4"/>
      <c r="C44" s="5"/>
      <c r="D44" s="2"/>
      <c r="E44" s="2"/>
      <c r="F44" s="3"/>
      <c r="G44" s="3"/>
    </row>
    <row r="45" spans="1:7" ht="15" customHeight="1">
      <c r="A45" s="4"/>
      <c r="B45" s="4"/>
      <c r="C45" s="5"/>
      <c r="D45" s="2"/>
      <c r="E45" s="2"/>
      <c r="F45" s="3"/>
      <c r="G45" s="3"/>
    </row>
    <row r="46" spans="1:7" ht="15" customHeight="1">
      <c r="A46" s="4"/>
      <c r="B46" s="4"/>
      <c r="C46" s="5"/>
      <c r="D46" s="2"/>
      <c r="E46" s="2"/>
      <c r="F46" s="3"/>
      <c r="G46" s="3"/>
    </row>
    <row r="47" spans="1:7" ht="15" customHeight="1">
      <c r="A47" s="4"/>
      <c r="B47" s="4"/>
      <c r="C47" s="5"/>
      <c r="D47" s="2"/>
      <c r="E47" s="2"/>
      <c r="F47" s="3"/>
      <c r="G47" s="3"/>
    </row>
    <row r="48" spans="1:7" ht="15" customHeight="1">
      <c r="A48" s="4"/>
      <c r="B48" s="4"/>
      <c r="C48" s="5"/>
      <c r="D48" s="2"/>
      <c r="E48" s="2"/>
      <c r="F48" s="3"/>
      <c r="G48" s="3"/>
    </row>
    <row r="49" spans="1:7" ht="15" customHeight="1">
      <c r="A49" s="4"/>
      <c r="B49" s="4"/>
      <c r="C49" s="5"/>
      <c r="D49" s="2"/>
      <c r="E49" s="2"/>
      <c r="F49" s="3"/>
      <c r="G49" s="3"/>
    </row>
    <row r="50" spans="1:7" ht="15" customHeight="1">
      <c r="A50" s="4"/>
      <c r="B50" s="4"/>
      <c r="C50" s="5"/>
      <c r="D50" s="2"/>
      <c r="E50" s="2"/>
      <c r="F50" s="3"/>
      <c r="G50" s="3"/>
    </row>
    <row r="51" spans="1:7" ht="15" customHeight="1">
      <c r="A51" s="4"/>
      <c r="B51" s="4"/>
      <c r="C51" s="5"/>
      <c r="D51" s="2"/>
      <c r="E51" s="2"/>
      <c r="F51" s="3"/>
      <c r="G51" s="3"/>
    </row>
    <row r="52" spans="1:7" ht="15" customHeight="1">
      <c r="A52" s="4"/>
      <c r="B52" s="4"/>
      <c r="C52" s="5"/>
      <c r="D52" s="2"/>
      <c r="E52" s="2"/>
      <c r="F52" s="3"/>
      <c r="G52" s="3"/>
    </row>
    <row r="53" spans="1:7" ht="15" customHeight="1">
      <c r="A53" s="4"/>
      <c r="B53" s="4"/>
      <c r="C53" s="5"/>
      <c r="D53" s="2"/>
      <c r="E53" s="2"/>
      <c r="F53" s="3"/>
      <c r="G53" s="3"/>
    </row>
    <row r="54" spans="1:7" ht="15" customHeight="1">
      <c r="A54" s="4"/>
      <c r="B54" s="4"/>
      <c r="C54" s="5"/>
      <c r="D54" s="2"/>
      <c r="E54" s="2"/>
      <c r="F54" s="3"/>
      <c r="G54" s="3"/>
    </row>
    <row r="55" spans="1:7" ht="15" customHeight="1">
      <c r="A55" s="4"/>
      <c r="B55" s="4"/>
      <c r="C55" s="5"/>
      <c r="D55" s="2"/>
      <c r="E55" s="2"/>
      <c r="F55" s="3"/>
      <c r="G55" s="3"/>
    </row>
    <row r="56" spans="1:7" ht="15" customHeight="1">
      <c r="A56" s="4"/>
      <c r="B56" s="4"/>
      <c r="C56" s="5"/>
      <c r="D56" s="2"/>
      <c r="E56" s="2"/>
      <c r="F56" s="3"/>
      <c r="G56" s="3"/>
    </row>
    <row r="57" spans="1:7" ht="15" customHeight="1">
      <c r="A57" s="4"/>
      <c r="B57" s="4"/>
      <c r="C57" s="5"/>
      <c r="D57" s="2"/>
      <c r="E57" s="2"/>
      <c r="F57" s="3"/>
      <c r="G57" s="3"/>
    </row>
    <row r="58" spans="1:7" ht="15" customHeight="1">
      <c r="A58" s="4"/>
      <c r="B58" s="4"/>
      <c r="C58" s="5"/>
      <c r="D58" s="2"/>
      <c r="E58" s="2"/>
      <c r="F58" s="3"/>
      <c r="G58" s="3"/>
    </row>
    <row r="59" spans="1:7" ht="15" customHeight="1">
      <c r="A59" s="4"/>
      <c r="B59" s="4"/>
      <c r="C59" s="5"/>
      <c r="D59" s="2"/>
      <c r="E59" s="2"/>
      <c r="F59" s="3"/>
      <c r="G59" s="3"/>
    </row>
    <row r="60" spans="1:7" ht="15" customHeight="1">
      <c r="A60" s="4"/>
      <c r="B60" s="4"/>
      <c r="C60" s="5"/>
      <c r="D60" s="2"/>
      <c r="E60" s="2"/>
      <c r="F60" s="3"/>
      <c r="G60" s="3"/>
    </row>
    <row r="61" spans="1:7" ht="15" customHeight="1">
      <c r="A61" s="94"/>
      <c r="B61" s="94"/>
      <c r="C61" s="95"/>
      <c r="D61" s="13"/>
      <c r="E61" s="13"/>
      <c r="F61" s="37"/>
      <c r="G61" s="37"/>
    </row>
    <row r="62" spans="1:7" ht="15" customHeight="1">
      <c r="A62" s="96"/>
      <c r="B62" s="96"/>
      <c r="C62" s="96"/>
      <c r="D62" s="26"/>
      <c r="E62" s="96"/>
      <c r="F62" s="96"/>
      <c r="G62" s="96"/>
    </row>
    <row r="63" spans="1:7" ht="15" customHeight="1">
      <c r="A63" s="98"/>
      <c r="B63" s="96"/>
      <c r="C63" s="96"/>
      <c r="D63" s="26"/>
      <c r="E63" s="96"/>
      <c r="F63" s="96"/>
      <c r="G63" s="96"/>
    </row>
    <row r="64" spans="1:7" ht="15" customHeight="1">
      <c r="A64" s="98"/>
      <c r="B64" s="96"/>
      <c r="C64" s="96"/>
      <c r="D64" s="26"/>
      <c r="E64" s="96"/>
      <c r="F64" s="96"/>
      <c r="G64" s="96"/>
    </row>
    <row r="65" spans="1:7" ht="15" customHeight="1">
      <c r="A65" s="99"/>
      <c r="B65" s="96"/>
      <c r="C65" s="96"/>
      <c r="D65" s="96"/>
      <c r="E65" s="96"/>
      <c r="F65" s="96"/>
      <c r="G65" s="96"/>
    </row>
    <row r="66" spans="1:7" ht="15" customHeight="1">
      <c r="A66" s="100"/>
      <c r="B66" s="100"/>
      <c r="C66" s="100"/>
      <c r="D66" s="100"/>
      <c r="E66" s="100"/>
      <c r="F66" s="100"/>
      <c r="G66" s="101"/>
    </row>
    <row r="67" spans="1:7" ht="15" customHeight="1">
      <c r="A67" s="26"/>
      <c r="B67" s="99"/>
      <c r="C67" s="103"/>
      <c r="D67" s="104"/>
      <c r="E67" s="26"/>
      <c r="F67" s="105"/>
      <c r="G67" s="106"/>
    </row>
    <row r="68" spans="1:7" ht="15" customHeight="1">
      <c r="A68" s="26"/>
      <c r="B68" s="99"/>
      <c r="C68" s="103"/>
      <c r="D68" s="104"/>
      <c r="E68" s="26"/>
      <c r="F68" s="106"/>
      <c r="G68" s="106"/>
    </row>
    <row r="69" spans="1:7" ht="15" customHeight="1">
      <c r="A69" s="26"/>
      <c r="B69" s="104"/>
      <c r="C69" s="104"/>
      <c r="D69" s="104"/>
      <c r="E69" s="26"/>
      <c r="F69" s="106"/>
      <c r="G69" s="106"/>
    </row>
    <row r="70" spans="1:7" ht="15" customHeight="1">
      <c r="A70" s="26"/>
      <c r="B70" s="104"/>
      <c r="C70" s="107"/>
      <c r="D70" s="104"/>
      <c r="E70" s="26"/>
      <c r="F70" s="106"/>
      <c r="G70" s="106"/>
    </row>
    <row r="71" spans="1:7" ht="15" customHeight="1">
      <c r="A71" s="26"/>
      <c r="B71" s="104"/>
      <c r="C71" s="107"/>
      <c r="D71" s="104"/>
      <c r="E71" s="26"/>
      <c r="F71" s="106"/>
      <c r="G71" s="108"/>
    </row>
    <row r="72" spans="1:7" ht="15" customHeight="1">
      <c r="A72" s="26"/>
      <c r="B72" s="104"/>
      <c r="C72" s="107"/>
      <c r="D72" s="104"/>
      <c r="E72" s="26"/>
      <c r="F72" s="106"/>
      <c r="G72" s="106"/>
    </row>
    <row r="73" spans="1:7" ht="15" customHeight="1">
      <c r="A73" s="26"/>
      <c r="B73" s="26"/>
      <c r="C73" s="26"/>
      <c r="D73" s="104"/>
      <c r="E73" s="26"/>
      <c r="F73" s="106"/>
      <c r="G73" s="106"/>
    </row>
    <row r="74" spans="1:7" ht="15" customHeight="1">
      <c r="A74" s="26"/>
      <c r="B74" s="110"/>
      <c r="C74" s="110"/>
      <c r="D74" s="26"/>
      <c r="E74" s="26"/>
      <c r="F74" s="106"/>
      <c r="G74" s="106"/>
    </row>
    <row r="75" spans="1:7" ht="15" customHeight="1">
      <c r="A75" s="26"/>
      <c r="B75" s="110"/>
      <c r="C75" s="110"/>
      <c r="D75" s="110"/>
      <c r="E75" s="110"/>
      <c r="F75" s="110"/>
      <c r="G75" s="106"/>
    </row>
    <row r="76" spans="1:7" ht="15" customHeight="1">
      <c r="A76" s="416"/>
      <c r="B76" s="416"/>
      <c r="C76" s="416"/>
      <c r="D76" s="416"/>
      <c r="E76" s="416"/>
      <c r="F76" s="416"/>
      <c r="G76" s="111"/>
    </row>
    <row r="77" spans="1:7" ht="15" customHeight="1">
      <c r="A77" s="26"/>
      <c r="B77" s="417"/>
      <c r="C77" s="417"/>
      <c r="D77" s="417"/>
      <c r="E77" s="113"/>
      <c r="F77" s="26"/>
      <c r="G77" s="26"/>
    </row>
    <row r="78" spans="1:7" ht="15" customHeight="1">
      <c r="A78" s="26"/>
      <c r="B78" s="114"/>
      <c r="C78" s="114"/>
      <c r="D78" s="114"/>
      <c r="E78" s="113"/>
      <c r="F78" s="26"/>
      <c r="G78" s="26"/>
    </row>
    <row r="79" spans="1:7" ht="15" customHeight="1">
      <c r="A79" s="26"/>
      <c r="B79" s="115"/>
      <c r="C79" s="114"/>
      <c r="D79" s="114"/>
      <c r="E79" s="113"/>
      <c r="F79" s="108"/>
      <c r="G79" s="26"/>
    </row>
    <row r="80" spans="1:7" ht="15" customHeight="1">
      <c r="A80" s="26"/>
      <c r="B80" s="115"/>
      <c r="C80" s="114"/>
      <c r="D80" s="114"/>
      <c r="E80" s="113"/>
      <c r="F80" s="108"/>
      <c r="G80" s="106"/>
    </row>
  </sheetData>
  <mergeCells count="9">
    <mergeCell ref="A33:B33"/>
    <mergeCell ref="A76:F76"/>
    <mergeCell ref="B77:D77"/>
    <mergeCell ref="A17:A18"/>
    <mergeCell ref="B17:B18"/>
    <mergeCell ref="C17:C18"/>
    <mergeCell ref="D17:D18"/>
    <mergeCell ref="E17:E18"/>
    <mergeCell ref="F17:F18"/>
  </mergeCell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74"/>
  <sheetViews>
    <sheetView topLeftCell="A4" workbookViewId="0">
      <selection activeCell="B21" sqref="B21"/>
    </sheetView>
  </sheetViews>
  <sheetFormatPr defaultRowHeight="15" customHeight="1"/>
  <cols>
    <col min="1" max="1" width="15.85546875" style="146" customWidth="1"/>
    <col min="2" max="2" width="94.42578125" style="146" customWidth="1"/>
    <col min="3" max="3" width="21" style="146" customWidth="1"/>
    <col min="4" max="4" width="17.85546875" style="146" customWidth="1"/>
    <col min="5" max="6" width="13.28515625" style="146" customWidth="1"/>
    <col min="7" max="16384" width="9.140625" style="146"/>
  </cols>
  <sheetData>
    <row r="3" spans="1:7" ht="15" customHeight="1">
      <c r="A3" s="277"/>
      <c r="B3" s="4"/>
      <c r="C3" s="278"/>
      <c r="D3" s="279"/>
      <c r="E3" s="279"/>
      <c r="F3" s="277"/>
      <c r="G3" s="277"/>
    </row>
    <row r="4" spans="1:7" ht="15" customHeight="1">
      <c r="A4" s="280"/>
      <c r="B4" s="7"/>
      <c r="C4" s="281"/>
      <c r="D4" s="9">
        <f ca="1">TODAY()</f>
        <v>45307</v>
      </c>
      <c r="E4" s="282"/>
      <c r="F4" s="277"/>
      <c r="G4" s="277"/>
    </row>
    <row r="5" spans="1:7" ht="15" customHeight="1">
      <c r="A5" s="280"/>
      <c r="B5" s="7"/>
      <c r="C5" s="281"/>
      <c r="D5" s="9"/>
      <c r="E5" s="282"/>
      <c r="F5" s="277"/>
      <c r="G5" s="277"/>
    </row>
    <row r="6" spans="1:7" ht="15" customHeight="1">
      <c r="A6" s="277"/>
      <c r="B6" s="4"/>
      <c r="C6" s="278"/>
      <c r="D6" s="11" t="s">
        <v>0</v>
      </c>
      <c r="E6" s="11" t="s">
        <v>1</v>
      </c>
      <c r="F6" s="277"/>
      <c r="G6" s="277"/>
    </row>
    <row r="7" spans="1:7" ht="15" customHeight="1">
      <c r="A7" s="12" t="s">
        <v>2</v>
      </c>
      <c r="B7" s="4"/>
      <c r="C7" s="279" t="s">
        <v>3</v>
      </c>
      <c r="D7" s="283" t="s">
        <v>294</v>
      </c>
      <c r="E7" s="14">
        <f>D19</f>
        <v>92000</v>
      </c>
      <c r="F7" s="277"/>
      <c r="G7" s="277"/>
    </row>
    <row r="8" spans="1:7" ht="15" customHeight="1">
      <c r="A8" s="15" t="s">
        <v>5</v>
      </c>
      <c r="B8" s="146" t="s">
        <v>295</v>
      </c>
      <c r="C8" s="279" t="s">
        <v>7</v>
      </c>
      <c r="D8" s="283" t="s">
        <v>8</v>
      </c>
      <c r="E8" s="14">
        <f>+D27</f>
        <v>0</v>
      </c>
      <c r="F8" s="277"/>
      <c r="G8" s="277"/>
    </row>
    <row r="9" spans="1:7" ht="15" customHeight="1">
      <c r="A9" s="15" t="s">
        <v>9</v>
      </c>
      <c r="B9" s="146" t="s">
        <v>295</v>
      </c>
      <c r="C9" s="279" t="s">
        <v>10</v>
      </c>
      <c r="D9" s="283" t="s">
        <v>11</v>
      </c>
      <c r="E9" s="14">
        <f>SUM(E7:E8)</f>
        <v>92000</v>
      </c>
      <c r="F9" s="277"/>
      <c r="G9" s="277"/>
    </row>
    <row r="10" spans="1:7" ht="15" customHeight="1">
      <c r="A10" s="18" t="s">
        <v>12</v>
      </c>
      <c r="B10" s="146" t="s">
        <v>296</v>
      </c>
      <c r="C10" s="279" t="s">
        <v>14</v>
      </c>
      <c r="D10" s="283" t="s">
        <v>15</v>
      </c>
      <c r="E10" s="14">
        <f>+E27</f>
        <v>92000</v>
      </c>
      <c r="F10" s="277"/>
      <c r="G10" s="277"/>
    </row>
    <row r="11" spans="1:7" ht="15" customHeight="1" thickBot="1">
      <c r="A11" s="18" t="s">
        <v>16</v>
      </c>
      <c r="B11" s="146" t="s">
        <v>297</v>
      </c>
      <c r="C11" s="279" t="s">
        <v>18</v>
      </c>
      <c r="D11" s="19" t="s">
        <v>19</v>
      </c>
      <c r="E11" s="20">
        <f>+E9-E10</f>
        <v>0</v>
      </c>
      <c r="F11" s="277"/>
      <c r="G11" s="277"/>
    </row>
    <row r="12" spans="1:7" ht="15" customHeight="1" thickTop="1">
      <c r="A12" s="15" t="s">
        <v>20</v>
      </c>
      <c r="B12" s="146" t="s">
        <v>298</v>
      </c>
      <c r="C12" s="279" t="s">
        <v>21</v>
      </c>
      <c r="D12" s="284" t="s">
        <v>22</v>
      </c>
      <c r="E12" s="285"/>
      <c r="F12" s="284"/>
      <c r="G12" s="277"/>
    </row>
    <row r="13" spans="1:7" ht="15" customHeight="1">
      <c r="A13" s="277" t="s">
        <v>23</v>
      </c>
      <c r="B13" s="146" t="s">
        <v>299</v>
      </c>
      <c r="C13" s="277" t="s">
        <v>25</v>
      </c>
      <c r="D13" s="286" t="s">
        <v>26</v>
      </c>
      <c r="E13" s="287"/>
      <c r="F13" s="277"/>
      <c r="G13" s="277"/>
    </row>
    <row r="14" spans="1:7" ht="15" customHeight="1">
      <c r="A14" s="277" t="s">
        <v>67</v>
      </c>
      <c r="B14" s="146" t="s">
        <v>300</v>
      </c>
      <c r="C14" s="277"/>
      <c r="D14" s="288" t="s">
        <v>8</v>
      </c>
      <c r="E14" s="289"/>
      <c r="F14" s="287"/>
      <c r="G14" s="277"/>
    </row>
    <row r="15" spans="1:7" ht="15" customHeight="1">
      <c r="A15" s="4"/>
      <c r="B15" s="4"/>
      <c r="C15" s="278"/>
      <c r="D15" s="279"/>
      <c r="E15" s="279"/>
      <c r="F15" s="277"/>
      <c r="G15" s="33"/>
    </row>
    <row r="16" spans="1:7" ht="15" customHeight="1" thickBot="1">
      <c r="A16" s="7"/>
      <c r="B16" s="146" t="s">
        <v>301</v>
      </c>
      <c r="C16" s="33"/>
      <c r="D16" s="33"/>
      <c r="E16" s="33"/>
      <c r="F16" s="33"/>
      <c r="G16" s="33"/>
    </row>
    <row r="17" spans="1:7" ht="15" customHeight="1">
      <c r="A17" s="434" t="s">
        <v>30</v>
      </c>
      <c r="B17" s="434" t="s">
        <v>69</v>
      </c>
      <c r="C17" s="434" t="s">
        <v>31</v>
      </c>
      <c r="D17" s="436" t="s">
        <v>32</v>
      </c>
      <c r="E17" s="436" t="s">
        <v>33</v>
      </c>
      <c r="F17" s="430" t="s">
        <v>34</v>
      </c>
      <c r="G17" s="290"/>
    </row>
    <row r="18" spans="1:7" ht="15" customHeight="1" thickBot="1">
      <c r="A18" s="435"/>
      <c r="B18" s="435"/>
      <c r="C18" s="435"/>
      <c r="D18" s="437"/>
      <c r="E18" s="437"/>
      <c r="F18" s="431"/>
      <c r="G18" s="291"/>
    </row>
    <row r="19" spans="1:7" ht="15" customHeight="1">
      <c r="A19" s="145">
        <v>43517</v>
      </c>
      <c r="B19" s="292" t="s">
        <v>302</v>
      </c>
      <c r="C19" s="293"/>
      <c r="D19" s="294">
        <v>92000</v>
      </c>
      <c r="F19" s="295">
        <f>D19-E19</f>
        <v>92000</v>
      </c>
      <c r="G19" s="277"/>
    </row>
    <row r="20" spans="1:7" ht="15" customHeight="1">
      <c r="A20" s="173"/>
      <c r="B20" s="292" t="s">
        <v>303</v>
      </c>
      <c r="C20" s="296">
        <v>46000</v>
      </c>
      <c r="D20" s="297"/>
      <c r="E20" s="298"/>
      <c r="F20" s="299">
        <f t="shared" ref="F20:F26" si="0">F19+D20-E20</f>
        <v>92000</v>
      </c>
      <c r="G20" s="277"/>
    </row>
    <row r="21" spans="1:7" ht="15" customHeight="1">
      <c r="A21" s="148">
        <v>43479</v>
      </c>
      <c r="B21" s="300" t="s">
        <v>326</v>
      </c>
      <c r="C21" s="301"/>
      <c r="D21" s="302"/>
      <c r="E21" s="301">
        <v>658.33</v>
      </c>
      <c r="F21" s="299">
        <f t="shared" si="0"/>
        <v>91341.67</v>
      </c>
      <c r="G21" s="277"/>
    </row>
    <row r="22" spans="1:7" ht="15" customHeight="1">
      <c r="A22" s="174">
        <v>43516</v>
      </c>
      <c r="B22" s="300" t="s">
        <v>307</v>
      </c>
      <c r="C22" s="301"/>
      <c r="D22" s="302"/>
      <c r="E22" s="301">
        <v>45341.67</v>
      </c>
      <c r="F22" s="299">
        <f t="shared" si="0"/>
        <v>46000</v>
      </c>
      <c r="G22" s="277"/>
    </row>
    <row r="23" spans="1:7" ht="15" customHeight="1">
      <c r="A23" s="145">
        <v>43698</v>
      </c>
      <c r="B23" s="292" t="s">
        <v>304</v>
      </c>
      <c r="C23" s="296">
        <v>46000</v>
      </c>
      <c r="D23" s="151"/>
      <c r="E23" s="303"/>
      <c r="F23" s="299">
        <f t="shared" si="0"/>
        <v>46000</v>
      </c>
      <c r="G23" s="277"/>
    </row>
    <row r="24" spans="1:7" ht="15" customHeight="1">
      <c r="A24" s="174">
        <v>43706</v>
      </c>
      <c r="B24" s="300" t="s">
        <v>327</v>
      </c>
      <c r="C24" s="304"/>
      <c r="D24" s="152"/>
      <c r="E24" s="301">
        <v>46000</v>
      </c>
      <c r="F24" s="299">
        <f t="shared" si="0"/>
        <v>0</v>
      </c>
      <c r="G24" s="277"/>
    </row>
    <row r="25" spans="1:7" ht="15" customHeight="1">
      <c r="A25" s="305"/>
      <c r="B25" s="292"/>
      <c r="C25" s="160"/>
      <c r="D25" s="155"/>
      <c r="E25" s="156"/>
      <c r="F25" s="299">
        <f t="shared" si="0"/>
        <v>0</v>
      </c>
      <c r="G25" s="277"/>
    </row>
    <row r="26" spans="1:7" ht="15" customHeight="1" thickBot="1">
      <c r="A26" s="69"/>
      <c r="B26" s="306"/>
      <c r="C26" s="307"/>
      <c r="D26" s="297"/>
      <c r="E26" s="308"/>
      <c r="F26" s="299">
        <f t="shared" si="0"/>
        <v>0</v>
      </c>
      <c r="G26" s="277"/>
    </row>
    <row r="27" spans="1:7" ht="15" customHeight="1" thickBot="1">
      <c r="A27" s="432" t="s">
        <v>61</v>
      </c>
      <c r="B27" s="433"/>
      <c r="C27" s="89">
        <f>SUM(C20:C26)</f>
        <v>92000</v>
      </c>
      <c r="D27" s="166">
        <f>SUM(D20:D26)</f>
        <v>0</v>
      </c>
      <c r="E27" s="90">
        <f>SUM(E20:E26)</f>
        <v>92000</v>
      </c>
      <c r="F27" s="90">
        <f>+F26</f>
        <v>0</v>
      </c>
      <c r="G27" s="277"/>
    </row>
    <row r="28" spans="1:7" ht="15" customHeight="1">
      <c r="A28" s="167"/>
      <c r="B28" s="167"/>
      <c r="C28" s="309"/>
      <c r="D28" s="310"/>
      <c r="E28" s="310"/>
      <c r="F28" s="277"/>
      <c r="G28" s="277"/>
    </row>
    <row r="29" spans="1:7" ht="15" customHeight="1">
      <c r="A29" s="4"/>
      <c r="B29" s="4"/>
      <c r="C29" s="278"/>
      <c r="D29" s="311"/>
      <c r="E29" s="279"/>
      <c r="F29" s="277"/>
      <c r="G29" s="277"/>
    </row>
    <row r="30" spans="1:7" ht="15" customHeight="1">
      <c r="A30" s="4"/>
      <c r="B30" s="4"/>
      <c r="C30" s="278"/>
      <c r="D30" s="311">
        <f>C23*5%</f>
        <v>2300</v>
      </c>
      <c r="E30" s="279"/>
      <c r="F30" s="277"/>
      <c r="G30" s="277"/>
    </row>
    <row r="31" spans="1:7" ht="15" customHeight="1">
      <c r="A31" s="170"/>
      <c r="B31" s="4"/>
      <c r="C31" s="278"/>
      <c r="D31" s="279"/>
      <c r="E31" s="279"/>
      <c r="F31" s="277"/>
      <c r="G31" s="277"/>
    </row>
    <row r="32" spans="1:7" ht="15" customHeight="1">
      <c r="A32" s="172"/>
      <c r="B32" s="4"/>
      <c r="C32" s="312"/>
      <c r="D32" s="311"/>
      <c r="E32" s="311"/>
      <c r="F32" s="277"/>
      <c r="G32" s="277"/>
    </row>
    <row r="33" spans="1:7" ht="15" customHeight="1">
      <c r="A33" s="4"/>
      <c r="B33" s="4"/>
      <c r="C33" s="278"/>
      <c r="D33" s="279"/>
      <c r="E33" s="311"/>
      <c r="F33" s="277"/>
      <c r="G33" s="277"/>
    </row>
    <row r="34" spans="1:7" ht="15" customHeight="1">
      <c r="A34" s="4"/>
      <c r="B34" s="4"/>
      <c r="C34" s="278"/>
      <c r="D34" s="279"/>
      <c r="E34" s="311"/>
      <c r="F34" s="277"/>
      <c r="G34" s="277"/>
    </row>
    <row r="35" spans="1:7" ht="15" customHeight="1">
      <c r="A35" s="4"/>
      <c r="B35" s="4"/>
      <c r="C35" s="278"/>
      <c r="D35" s="279"/>
      <c r="E35" s="279"/>
      <c r="F35" s="277"/>
      <c r="G35" s="277"/>
    </row>
    <row r="36" spans="1:7" ht="15" customHeight="1">
      <c r="A36" s="4"/>
      <c r="B36" s="4"/>
      <c r="C36" s="278"/>
      <c r="D36" s="279"/>
      <c r="E36" s="279"/>
      <c r="F36" s="277"/>
      <c r="G36" s="277"/>
    </row>
    <row r="37" spans="1:7" ht="15" customHeight="1">
      <c r="A37" s="4"/>
      <c r="B37" s="4"/>
      <c r="C37" s="278"/>
      <c r="D37" s="279"/>
      <c r="E37" s="279"/>
      <c r="F37" s="277"/>
      <c r="G37" s="277"/>
    </row>
    <row r="38" spans="1:7" ht="15" customHeight="1">
      <c r="A38" s="4"/>
      <c r="B38" s="4"/>
      <c r="C38" s="278"/>
      <c r="D38" s="279"/>
      <c r="E38" s="279"/>
      <c r="F38" s="277"/>
      <c r="G38" s="277"/>
    </row>
    <row r="39" spans="1:7" ht="15" customHeight="1">
      <c r="A39" s="4"/>
      <c r="B39" s="4"/>
      <c r="C39" s="278"/>
      <c r="D39" s="279"/>
      <c r="E39" s="279"/>
      <c r="F39" s="277"/>
      <c r="G39" s="277"/>
    </row>
    <row r="40" spans="1:7" ht="15" customHeight="1">
      <c r="A40" s="4"/>
      <c r="B40" s="4"/>
      <c r="C40" s="278"/>
      <c r="D40" s="279"/>
      <c r="E40" s="279"/>
      <c r="F40" s="277"/>
      <c r="G40" s="277"/>
    </row>
    <row r="41" spans="1:7" ht="15" customHeight="1">
      <c r="A41" s="4"/>
      <c r="B41" s="4"/>
      <c r="C41" s="278"/>
      <c r="D41" s="279"/>
      <c r="E41" s="279"/>
      <c r="F41" s="277"/>
      <c r="G41" s="277"/>
    </row>
    <row r="42" spans="1:7" ht="15" customHeight="1">
      <c r="A42" s="4"/>
      <c r="B42" s="4"/>
      <c r="C42" s="278"/>
      <c r="D42" s="279"/>
      <c r="E42" s="279"/>
      <c r="F42" s="277"/>
      <c r="G42" s="277"/>
    </row>
    <row r="43" spans="1:7" ht="15" customHeight="1">
      <c r="A43" s="4"/>
      <c r="B43" s="4"/>
      <c r="C43" s="278"/>
      <c r="D43" s="279"/>
      <c r="E43" s="279"/>
      <c r="F43" s="277"/>
      <c r="G43" s="277"/>
    </row>
    <row r="44" spans="1:7" ht="15" customHeight="1">
      <c r="A44" s="4"/>
      <c r="B44" s="4"/>
      <c r="C44" s="278"/>
      <c r="D44" s="279"/>
      <c r="E44" s="279"/>
      <c r="F44" s="277"/>
      <c r="G44" s="277"/>
    </row>
    <row r="45" spans="1:7" ht="15" customHeight="1">
      <c r="A45" s="4"/>
      <c r="B45" s="4"/>
      <c r="C45" s="278"/>
      <c r="D45" s="279"/>
      <c r="E45" s="279"/>
      <c r="F45" s="277"/>
      <c r="G45" s="277"/>
    </row>
    <row r="46" spans="1:7" ht="15" customHeight="1">
      <c r="A46" s="4"/>
      <c r="B46" s="4"/>
      <c r="C46" s="278"/>
      <c r="D46" s="279"/>
      <c r="E46" s="279"/>
      <c r="F46" s="277"/>
      <c r="G46" s="277"/>
    </row>
    <row r="47" spans="1:7" ht="15" customHeight="1">
      <c r="A47" s="4"/>
      <c r="B47" s="4"/>
      <c r="C47" s="278"/>
      <c r="D47" s="279"/>
      <c r="E47" s="279"/>
      <c r="F47" s="277"/>
      <c r="G47" s="277"/>
    </row>
    <row r="48" spans="1:7" ht="15" customHeight="1">
      <c r="A48" s="4"/>
      <c r="B48" s="4"/>
      <c r="C48" s="278"/>
      <c r="D48" s="279"/>
      <c r="E48" s="279"/>
      <c r="F48" s="277"/>
      <c r="G48" s="277"/>
    </row>
    <row r="49" spans="1:7" ht="15" customHeight="1">
      <c r="A49" s="4"/>
      <c r="B49" s="4"/>
      <c r="C49" s="278"/>
      <c r="D49" s="279"/>
      <c r="E49" s="279"/>
      <c r="F49" s="277"/>
      <c r="G49" s="277"/>
    </row>
    <row r="50" spans="1:7" ht="15" customHeight="1">
      <c r="A50" s="4"/>
      <c r="B50" s="4"/>
      <c r="C50" s="278"/>
      <c r="D50" s="279"/>
      <c r="E50" s="279"/>
      <c r="F50" s="277"/>
      <c r="G50" s="277"/>
    </row>
    <row r="51" spans="1:7" ht="15" customHeight="1">
      <c r="A51" s="4"/>
      <c r="B51" s="4"/>
      <c r="C51" s="278"/>
      <c r="D51" s="279"/>
      <c r="E51" s="279"/>
      <c r="F51" s="277"/>
      <c r="G51" s="277"/>
    </row>
    <row r="52" spans="1:7" ht="15" customHeight="1">
      <c r="A52" s="4"/>
      <c r="B52" s="4"/>
      <c r="C52" s="278"/>
      <c r="D52" s="279"/>
      <c r="E52" s="279"/>
      <c r="F52" s="277"/>
      <c r="G52" s="277"/>
    </row>
    <row r="53" spans="1:7" ht="15" customHeight="1">
      <c r="A53" s="4"/>
      <c r="B53" s="4"/>
      <c r="C53" s="278"/>
      <c r="D53" s="279"/>
      <c r="E53" s="279"/>
      <c r="F53" s="277"/>
      <c r="G53" s="277"/>
    </row>
    <row r="54" spans="1:7" ht="15" customHeight="1">
      <c r="A54" s="4"/>
      <c r="B54" s="4"/>
      <c r="C54" s="278"/>
      <c r="D54" s="279"/>
      <c r="E54" s="279"/>
      <c r="F54" s="277"/>
      <c r="G54" s="277"/>
    </row>
    <row r="55" spans="1:7" ht="15" customHeight="1">
      <c r="A55" s="94"/>
      <c r="B55" s="94"/>
      <c r="C55" s="313"/>
      <c r="D55" s="283"/>
      <c r="E55" s="283"/>
      <c r="F55" s="290"/>
      <c r="G55" s="290"/>
    </row>
    <row r="56" spans="1:7" ht="15" customHeight="1">
      <c r="A56" s="314"/>
      <c r="B56" s="314"/>
      <c r="C56" s="314"/>
      <c r="D56" s="115"/>
      <c r="E56" s="314"/>
      <c r="F56" s="314"/>
      <c r="G56" s="314"/>
    </row>
    <row r="57" spans="1:7" ht="15" customHeight="1">
      <c r="A57" s="315"/>
      <c r="B57" s="314"/>
      <c r="C57" s="314"/>
      <c r="D57" s="115"/>
      <c r="E57" s="314"/>
      <c r="F57" s="314"/>
      <c r="G57" s="314"/>
    </row>
    <row r="58" spans="1:7" ht="15" customHeight="1">
      <c r="A58" s="315"/>
      <c r="B58" s="314"/>
      <c r="C58" s="314"/>
      <c r="D58" s="115"/>
      <c r="E58" s="314"/>
      <c r="F58" s="314"/>
      <c r="G58" s="314"/>
    </row>
    <row r="59" spans="1:7" ht="15" customHeight="1">
      <c r="A59" s="316"/>
      <c r="B59" s="314"/>
      <c r="C59" s="314"/>
      <c r="D59" s="314"/>
      <c r="E59" s="314"/>
      <c r="F59" s="314"/>
      <c r="G59" s="314"/>
    </row>
    <row r="60" spans="1:7" ht="15" customHeight="1">
      <c r="A60" s="275"/>
      <c r="B60" s="275"/>
      <c r="C60" s="275"/>
      <c r="D60" s="275"/>
      <c r="E60" s="275"/>
      <c r="F60" s="275"/>
      <c r="G60" s="101"/>
    </row>
    <row r="61" spans="1:7" ht="15" customHeight="1">
      <c r="A61" s="115"/>
      <c r="B61" s="316"/>
      <c r="C61" s="317"/>
      <c r="D61" s="283"/>
      <c r="E61" s="115"/>
      <c r="F61" s="318"/>
      <c r="G61" s="319"/>
    </row>
    <row r="62" spans="1:7" ht="15" customHeight="1">
      <c r="A62" s="115"/>
      <c r="B62" s="316"/>
      <c r="C62" s="317"/>
      <c r="D62" s="283"/>
      <c r="E62" s="115"/>
      <c r="F62" s="319"/>
      <c r="G62" s="319"/>
    </row>
    <row r="63" spans="1:7" ht="15" customHeight="1">
      <c r="A63" s="115"/>
      <c r="B63" s="283"/>
      <c r="C63" s="283"/>
      <c r="D63" s="283"/>
      <c r="E63" s="115"/>
      <c r="F63" s="319"/>
      <c r="G63" s="319"/>
    </row>
    <row r="64" spans="1:7" ht="15" customHeight="1">
      <c r="A64" s="115"/>
      <c r="B64" s="283"/>
      <c r="C64" s="320"/>
      <c r="D64" s="283"/>
      <c r="E64" s="115"/>
      <c r="F64" s="319"/>
      <c r="G64" s="319"/>
    </row>
    <row r="65" spans="1:7" ht="15" customHeight="1">
      <c r="A65" s="115"/>
      <c r="B65" s="283"/>
      <c r="C65" s="320"/>
      <c r="D65" s="283"/>
      <c r="E65" s="115"/>
      <c r="F65" s="319"/>
      <c r="G65" s="321"/>
    </row>
    <row r="66" spans="1:7" ht="15" customHeight="1">
      <c r="A66" s="115"/>
      <c r="B66" s="283"/>
      <c r="C66" s="320"/>
      <c r="D66" s="283"/>
      <c r="E66" s="115"/>
      <c r="F66" s="319"/>
      <c r="G66" s="319"/>
    </row>
    <row r="67" spans="1:7" ht="15" customHeight="1">
      <c r="A67" s="115"/>
      <c r="B67" s="115"/>
      <c r="C67" s="115"/>
      <c r="D67" s="283"/>
      <c r="E67" s="115"/>
      <c r="F67" s="319"/>
      <c r="G67" s="319"/>
    </row>
    <row r="68" spans="1:7" ht="15" customHeight="1">
      <c r="A68" s="115"/>
      <c r="B68" s="322"/>
      <c r="C68" s="322"/>
      <c r="D68" s="115"/>
      <c r="E68" s="115"/>
      <c r="F68" s="319"/>
      <c r="G68" s="319"/>
    </row>
    <row r="69" spans="1:7" ht="15" customHeight="1">
      <c r="A69" s="115"/>
      <c r="B69" s="322"/>
      <c r="C69" s="322"/>
      <c r="D69" s="322"/>
      <c r="E69" s="322"/>
      <c r="F69" s="322"/>
      <c r="G69" s="319"/>
    </row>
    <row r="70" spans="1:7" ht="15" customHeight="1">
      <c r="A70" s="416"/>
      <c r="B70" s="416"/>
      <c r="C70" s="416"/>
      <c r="D70" s="416"/>
      <c r="E70" s="416"/>
      <c r="F70" s="416"/>
      <c r="G70" s="111"/>
    </row>
    <row r="71" spans="1:7" ht="15" customHeight="1">
      <c r="A71" s="115"/>
      <c r="B71" s="417"/>
      <c r="C71" s="417"/>
      <c r="D71" s="417"/>
      <c r="E71" s="113"/>
      <c r="F71" s="115"/>
      <c r="G71" s="115"/>
    </row>
    <row r="72" spans="1:7" ht="15" customHeight="1">
      <c r="A72" s="115"/>
      <c r="B72" s="276"/>
      <c r="C72" s="276"/>
      <c r="D72" s="276"/>
      <c r="E72" s="113"/>
      <c r="F72" s="115"/>
      <c r="G72" s="115"/>
    </row>
    <row r="73" spans="1:7" ht="15" customHeight="1">
      <c r="A73" s="115"/>
      <c r="B73" s="115"/>
      <c r="C73" s="276"/>
      <c r="D73" s="276"/>
      <c r="E73" s="113"/>
      <c r="F73" s="321"/>
      <c r="G73" s="115"/>
    </row>
    <row r="74" spans="1:7" ht="15" customHeight="1">
      <c r="A74" s="115"/>
      <c r="B74" s="115"/>
      <c r="C74" s="276"/>
      <c r="D74" s="276"/>
      <c r="E74" s="113"/>
      <c r="F74" s="321"/>
      <c r="G74" s="319"/>
    </row>
  </sheetData>
  <mergeCells count="9">
    <mergeCell ref="A27:B27"/>
    <mergeCell ref="A70:F70"/>
    <mergeCell ref="B71:D71"/>
    <mergeCell ref="A17:A18"/>
    <mergeCell ref="B17:B18"/>
    <mergeCell ref="C17:C18"/>
    <mergeCell ref="D17:D18"/>
    <mergeCell ref="E17:E18"/>
    <mergeCell ref="F17:F18"/>
  </mergeCells>
  <pageMargins left="0.7" right="0.7" top="0.75" bottom="0.75" header="0.3" footer="0.3"/>
  <pageSetup paperSize="9" scale="65" orientation="landscape" verticalDpi="0" r:id="rId1"/>
  <ignoredErrors>
    <ignoredError sqref="D27" formulaRange="1"/>
  </ignoredError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28"/>
  <sheetViews>
    <sheetView topLeftCell="A37" zoomScale="85" zoomScaleNormal="85" workbookViewId="0">
      <selection activeCell="B40" sqref="B40"/>
    </sheetView>
  </sheetViews>
  <sheetFormatPr defaultRowHeight="15" customHeight="1"/>
  <cols>
    <col min="1" max="1" width="14.28515625" style="4" customWidth="1"/>
    <col min="2" max="2" width="104.85546875" style="4" customWidth="1"/>
    <col min="3" max="3" width="21.28515625" style="5" customWidth="1"/>
    <col min="4" max="4" width="17.42578125" style="2" customWidth="1"/>
    <col min="5" max="5" width="14.28515625" style="2" customWidth="1"/>
    <col min="6" max="6" width="13.28515625" style="3" customWidth="1"/>
    <col min="7" max="7" width="20.140625" style="3" customWidth="1"/>
    <col min="8" max="8" width="13.28515625" style="3" bestFit="1" customWidth="1"/>
    <col min="9" max="9" width="21.85546875" style="3" customWidth="1"/>
    <col min="10" max="10" width="9.140625" style="3"/>
    <col min="11" max="11" width="17.5703125" style="3" customWidth="1"/>
    <col min="12" max="12" width="18.7109375" style="3" customWidth="1"/>
    <col min="13" max="13" width="20.7109375" style="3" customWidth="1"/>
    <col min="14" max="14" width="15.85546875" style="3" customWidth="1"/>
    <col min="15" max="16384" width="9.140625" style="3"/>
  </cols>
  <sheetData>
    <row r="2" spans="1:8" ht="15" customHeight="1">
      <c r="A2" s="3"/>
    </row>
    <row r="3" spans="1:8" ht="15" customHeight="1">
      <c r="A3" s="6"/>
      <c r="B3" s="7"/>
      <c r="C3" s="8"/>
      <c r="D3" s="9">
        <f ca="1">TODAY()</f>
        <v>45307</v>
      </c>
      <c r="E3" s="10"/>
    </row>
    <row r="4" spans="1:8" ht="15" customHeight="1">
      <c r="A4" s="6"/>
      <c r="B4" s="7"/>
      <c r="C4" s="8"/>
      <c r="D4" s="9"/>
      <c r="E4" s="10"/>
    </row>
    <row r="5" spans="1:8" ht="15" customHeight="1">
      <c r="A5" s="3"/>
      <c r="D5" s="11" t="s">
        <v>0</v>
      </c>
      <c r="E5" s="11" t="s">
        <v>1</v>
      </c>
    </row>
    <row r="6" spans="1:8" ht="15" customHeight="1">
      <c r="A6" s="12" t="s">
        <v>2</v>
      </c>
      <c r="B6" s="121"/>
      <c r="C6" s="2" t="s">
        <v>3</v>
      </c>
      <c r="D6" s="13" t="s">
        <v>4</v>
      </c>
      <c r="E6" s="14">
        <f>+D18</f>
        <v>116308.3</v>
      </c>
    </row>
    <row r="7" spans="1:8" ht="15" customHeight="1">
      <c r="A7" s="15" t="s">
        <v>5</v>
      </c>
      <c r="B7" s="16" t="s">
        <v>6</v>
      </c>
      <c r="C7" s="2" t="s">
        <v>7</v>
      </c>
      <c r="D7" s="13" t="s">
        <v>8</v>
      </c>
      <c r="E7" s="14">
        <f>+D63</f>
        <v>12411.552</v>
      </c>
    </row>
    <row r="8" spans="1:8" ht="15" customHeight="1">
      <c r="A8" s="15" t="s">
        <v>9</v>
      </c>
      <c r="B8" s="17"/>
      <c r="C8" s="2" t="s">
        <v>10</v>
      </c>
      <c r="D8" s="13" t="s">
        <v>11</v>
      </c>
      <c r="E8" s="14">
        <f>SUM(E6:E7)</f>
        <v>128719.852</v>
      </c>
    </row>
    <row r="9" spans="1:8" ht="15" customHeight="1">
      <c r="A9" s="18" t="s">
        <v>12</v>
      </c>
      <c r="B9" s="26" t="s">
        <v>13</v>
      </c>
      <c r="C9" s="2" t="s">
        <v>14</v>
      </c>
      <c r="D9" s="13" t="s">
        <v>15</v>
      </c>
      <c r="E9" s="14">
        <f>+E63</f>
        <v>128719.85</v>
      </c>
    </row>
    <row r="10" spans="1:8" ht="15" customHeight="1" thickBot="1">
      <c r="A10" s="18" t="s">
        <v>16</v>
      </c>
      <c r="B10" s="122" t="s">
        <v>17</v>
      </c>
      <c r="C10" s="2" t="s">
        <v>18</v>
      </c>
      <c r="D10" s="19" t="s">
        <v>19</v>
      </c>
      <c r="E10" s="20">
        <f>+E8-E9</f>
        <v>1.999999993131496E-3</v>
      </c>
    </row>
    <row r="11" spans="1:8" ht="15" customHeight="1" thickTop="1">
      <c r="A11" s="15" t="s">
        <v>20</v>
      </c>
      <c r="B11" s="17"/>
      <c r="C11" s="2" t="s">
        <v>21</v>
      </c>
      <c r="D11" s="22" t="s">
        <v>22</v>
      </c>
      <c r="E11" s="23"/>
      <c r="F11" s="22"/>
    </row>
    <row r="12" spans="1:8" ht="15" customHeight="1">
      <c r="A12" s="3" t="s">
        <v>23</v>
      </c>
      <c r="B12" s="141" t="s">
        <v>24</v>
      </c>
      <c r="C12" s="3" t="s">
        <v>25</v>
      </c>
      <c r="D12" s="27" t="s">
        <v>26</v>
      </c>
      <c r="E12" s="123"/>
    </row>
    <row r="13" spans="1:8" ht="15" customHeight="1">
      <c r="A13" s="3" t="s">
        <v>27</v>
      </c>
      <c r="B13" s="17" t="s">
        <v>28</v>
      </c>
      <c r="C13" s="3"/>
      <c r="D13" s="29" t="s">
        <v>8</v>
      </c>
      <c r="E13" s="30"/>
      <c r="F13" s="28"/>
    </row>
    <row r="14" spans="1:8" ht="15" customHeight="1">
      <c r="A14" s="403"/>
      <c r="B14" s="403"/>
      <c r="C14" s="403"/>
      <c r="D14" s="403"/>
      <c r="E14" s="403"/>
      <c r="F14" s="403"/>
      <c r="G14" s="33"/>
      <c r="H14" s="33"/>
    </row>
    <row r="15" spans="1:8" ht="15" customHeight="1" thickBot="1">
      <c r="A15" s="7"/>
      <c r="B15" s="121" t="s">
        <v>320</v>
      </c>
      <c r="C15" s="124"/>
      <c r="D15" s="35"/>
      <c r="E15" s="36"/>
    </row>
    <row r="16" spans="1:8" ht="15" customHeight="1">
      <c r="A16" s="438" t="s">
        <v>30</v>
      </c>
      <c r="B16" s="438"/>
      <c r="C16" s="440" t="s">
        <v>31</v>
      </c>
      <c r="D16" s="410" t="s">
        <v>32</v>
      </c>
      <c r="E16" s="410" t="s">
        <v>33</v>
      </c>
      <c r="F16" s="412" t="s">
        <v>34</v>
      </c>
      <c r="G16" s="125"/>
    </row>
    <row r="17" spans="1:7" ht="15" customHeight="1" thickBot="1">
      <c r="A17" s="439"/>
      <c r="B17" s="439"/>
      <c r="C17" s="441"/>
      <c r="D17" s="411"/>
      <c r="E17" s="411"/>
      <c r="F17" s="413"/>
      <c r="G17" s="37"/>
    </row>
    <row r="18" spans="1:7" ht="15" customHeight="1">
      <c r="A18" s="78"/>
      <c r="B18" s="56" t="s">
        <v>35</v>
      </c>
      <c r="C18" s="126"/>
      <c r="D18" s="41">
        <v>116308.3</v>
      </c>
      <c r="E18" s="42"/>
      <c r="F18" s="43">
        <f>D18-E18</f>
        <v>116308.3</v>
      </c>
    </row>
    <row r="19" spans="1:7" ht="15" customHeight="1">
      <c r="A19" s="177" t="s">
        <v>36</v>
      </c>
      <c r="B19" s="56" t="s">
        <v>37</v>
      </c>
      <c r="C19" s="57">
        <v>9900</v>
      </c>
      <c r="D19" s="41"/>
      <c r="E19" s="42"/>
      <c r="F19" s="49">
        <f>F18+D19-E19</f>
        <v>116308.3</v>
      </c>
      <c r="G19" s="68"/>
    </row>
    <row r="20" spans="1:7" ht="15" customHeight="1">
      <c r="A20" s="60" t="s">
        <v>38</v>
      </c>
      <c r="B20" s="60" t="s">
        <v>39</v>
      </c>
      <c r="C20" s="57"/>
      <c r="D20" s="41"/>
      <c r="E20" s="129">
        <v>3639</v>
      </c>
      <c r="F20" s="49">
        <f t="shared" ref="F20:F62" si="0">F19+D20-E20</f>
        <v>112669.3</v>
      </c>
      <c r="G20" s="68"/>
    </row>
    <row r="21" spans="1:7" ht="15" customHeight="1">
      <c r="A21" s="60" t="s">
        <v>40</v>
      </c>
      <c r="B21" s="60" t="s">
        <v>41</v>
      </c>
      <c r="C21" s="57"/>
      <c r="D21" s="41"/>
      <c r="E21" s="129">
        <v>6261</v>
      </c>
      <c r="F21" s="49">
        <f t="shared" si="0"/>
        <v>106408.3</v>
      </c>
      <c r="G21" s="68"/>
    </row>
    <row r="22" spans="1:7" ht="15" customHeight="1">
      <c r="A22" s="80" t="s">
        <v>42</v>
      </c>
      <c r="B22" s="56" t="s">
        <v>43</v>
      </c>
      <c r="C22" s="57">
        <v>19795</v>
      </c>
      <c r="D22" s="127"/>
      <c r="E22" s="178"/>
      <c r="F22" s="49">
        <f t="shared" si="0"/>
        <v>106408.3</v>
      </c>
      <c r="G22" s="68"/>
    </row>
    <row r="23" spans="1:7" ht="15" customHeight="1">
      <c r="A23" s="62" t="s">
        <v>42</v>
      </c>
      <c r="B23" s="62" t="s">
        <v>255</v>
      </c>
      <c r="C23" s="57"/>
      <c r="D23" s="131">
        <f>C22*5%*2</f>
        <v>1979.5</v>
      </c>
      <c r="E23" s="178"/>
      <c r="F23" s="49">
        <f t="shared" si="0"/>
        <v>108387.8</v>
      </c>
      <c r="G23" s="68"/>
    </row>
    <row r="24" spans="1:7" ht="15" customHeight="1">
      <c r="A24" s="60" t="s">
        <v>45</v>
      </c>
      <c r="B24" s="60" t="s">
        <v>241</v>
      </c>
      <c r="C24" s="57"/>
      <c r="D24" s="131"/>
      <c r="E24" s="129">
        <v>1979.5</v>
      </c>
      <c r="F24" s="49">
        <f t="shared" si="0"/>
        <v>106408.3</v>
      </c>
      <c r="G24" s="68"/>
    </row>
    <row r="25" spans="1:7" ht="15" customHeight="1">
      <c r="A25" s="60" t="s">
        <v>45</v>
      </c>
      <c r="B25" s="60" t="s">
        <v>308</v>
      </c>
      <c r="C25" s="82">
        <f>C22-E25</f>
        <v>18966.48</v>
      </c>
      <c r="D25" s="131"/>
      <c r="E25" s="129">
        <v>828.52</v>
      </c>
      <c r="F25" s="49">
        <f t="shared" si="0"/>
        <v>105579.78</v>
      </c>
      <c r="G25" s="68"/>
    </row>
    <row r="26" spans="1:7" ht="15" customHeight="1">
      <c r="A26" s="179" t="s">
        <v>46</v>
      </c>
      <c r="B26" s="179" t="s">
        <v>309</v>
      </c>
      <c r="C26" s="82">
        <f>C25-E26</f>
        <v>15209.91</v>
      </c>
      <c r="D26" s="131"/>
      <c r="E26" s="129">
        <v>3756.57</v>
      </c>
      <c r="F26" s="49">
        <f t="shared" si="0"/>
        <v>101823.20999999999</v>
      </c>
      <c r="G26" s="68"/>
    </row>
    <row r="27" spans="1:7" ht="15" customHeight="1">
      <c r="A27" s="62" t="s">
        <v>52</v>
      </c>
      <c r="B27" s="62" t="s">
        <v>256</v>
      </c>
      <c r="C27" s="82"/>
      <c r="D27" s="131">
        <f>C26*5%</f>
        <v>760.49549999999999</v>
      </c>
      <c r="E27" s="129"/>
      <c r="F27" s="49">
        <f t="shared" si="0"/>
        <v>102583.7055</v>
      </c>
      <c r="G27" s="68"/>
    </row>
    <row r="28" spans="1:7" ht="15" customHeight="1">
      <c r="A28" s="180">
        <v>43234</v>
      </c>
      <c r="B28" s="72" t="s">
        <v>244</v>
      </c>
      <c r="C28" s="82"/>
      <c r="D28" s="131"/>
      <c r="E28" s="129">
        <v>760.5</v>
      </c>
      <c r="F28" s="49">
        <f t="shared" si="0"/>
        <v>101823.2055</v>
      </c>
      <c r="G28" s="68"/>
    </row>
    <row r="29" spans="1:7" ht="15" customHeight="1">
      <c r="A29" s="180">
        <v>43234</v>
      </c>
      <c r="B29" s="72" t="s">
        <v>310</v>
      </c>
      <c r="C29" s="82">
        <f>C26-E29</f>
        <v>14106.31</v>
      </c>
      <c r="D29" s="131"/>
      <c r="E29" s="129">
        <v>1103.5999999999999</v>
      </c>
      <c r="F29" s="49">
        <f t="shared" si="0"/>
        <v>100719.60549999999</v>
      </c>
      <c r="G29" s="68"/>
    </row>
    <row r="30" spans="1:7" ht="15" customHeight="1">
      <c r="A30" s="180">
        <v>43256</v>
      </c>
      <c r="B30" s="180" t="s">
        <v>311</v>
      </c>
      <c r="C30" s="82">
        <f>C29-E30</f>
        <v>10399.86</v>
      </c>
      <c r="D30" s="131"/>
      <c r="E30" s="129">
        <v>3706.45</v>
      </c>
      <c r="F30" s="49">
        <f t="shared" si="0"/>
        <v>97013.155499999993</v>
      </c>
      <c r="G30" s="68"/>
    </row>
    <row r="31" spans="1:7" ht="15" customHeight="1">
      <c r="A31" s="180">
        <v>43292</v>
      </c>
      <c r="B31" s="180" t="s">
        <v>312</v>
      </c>
      <c r="C31" s="82">
        <f>C30-E31</f>
        <v>6828.43</v>
      </c>
      <c r="D31" s="131"/>
      <c r="E31" s="129">
        <v>3571.43</v>
      </c>
      <c r="F31" s="49">
        <f t="shared" si="0"/>
        <v>93441.7255</v>
      </c>
      <c r="G31" s="68"/>
    </row>
    <row r="32" spans="1:7" ht="15" customHeight="1">
      <c r="A32" s="62" t="s">
        <v>257</v>
      </c>
      <c r="B32" s="62" t="s">
        <v>258</v>
      </c>
      <c r="C32" s="82"/>
      <c r="D32" s="131">
        <f>C31*5%</f>
        <v>341.42150000000004</v>
      </c>
      <c r="E32" s="129"/>
      <c r="F32" s="49">
        <f t="shared" si="0"/>
        <v>93783.146999999997</v>
      </c>
      <c r="G32" s="68"/>
    </row>
    <row r="33" spans="1:7" ht="15" customHeight="1">
      <c r="A33" s="180">
        <v>43333</v>
      </c>
      <c r="B33" s="180" t="s">
        <v>268</v>
      </c>
      <c r="C33" s="82"/>
      <c r="D33" s="131"/>
      <c r="E33" s="129">
        <v>341.42</v>
      </c>
      <c r="F33" s="49">
        <f t="shared" si="0"/>
        <v>93441.726999999999</v>
      </c>
      <c r="G33" s="68"/>
    </row>
    <row r="34" spans="1:7" s="2" customFormat="1" ht="15" customHeight="1">
      <c r="A34" s="180">
        <v>43399</v>
      </c>
      <c r="B34" s="180" t="s">
        <v>313</v>
      </c>
      <c r="C34" s="82">
        <f>C31-E34</f>
        <v>5386.8600000000006</v>
      </c>
      <c r="D34" s="131"/>
      <c r="E34" s="129">
        <v>1441.57</v>
      </c>
      <c r="F34" s="47">
        <f t="shared" si="0"/>
        <v>92000.156999999992</v>
      </c>
      <c r="G34" s="75"/>
    </row>
    <row r="35" spans="1:7" s="2" customFormat="1" ht="15" customHeight="1">
      <c r="A35" s="180">
        <v>43399</v>
      </c>
      <c r="B35" s="180" t="s">
        <v>314</v>
      </c>
      <c r="C35" s="181">
        <f>C34-E35</f>
        <v>5133.7000000000007</v>
      </c>
      <c r="D35" s="131"/>
      <c r="E35" s="129">
        <v>253.16</v>
      </c>
      <c r="F35" s="47">
        <f t="shared" si="0"/>
        <v>91746.996999999988</v>
      </c>
      <c r="G35" s="75"/>
    </row>
    <row r="36" spans="1:7" s="2" customFormat="1" ht="15" customHeight="1">
      <c r="A36" s="62" t="s">
        <v>57</v>
      </c>
      <c r="B36" s="62" t="s">
        <v>261</v>
      </c>
      <c r="C36" s="181"/>
      <c r="D36" s="132">
        <f>C35*5%</f>
        <v>256.68500000000006</v>
      </c>
      <c r="E36" s="129"/>
      <c r="F36" s="47">
        <f t="shared" si="0"/>
        <v>92003.681999999986</v>
      </c>
      <c r="G36" s="75"/>
    </row>
    <row r="37" spans="1:7" ht="15" customHeight="1">
      <c r="A37" s="134" t="s">
        <v>48</v>
      </c>
      <c r="B37" s="182" t="s">
        <v>49</v>
      </c>
      <c r="C37" s="130">
        <v>18971</v>
      </c>
      <c r="D37" s="66"/>
      <c r="E37" s="129"/>
      <c r="F37" s="47">
        <f t="shared" si="0"/>
        <v>92003.681999999986</v>
      </c>
      <c r="G37" s="68"/>
    </row>
    <row r="38" spans="1:7" ht="15" customHeight="1">
      <c r="A38" s="62" t="s">
        <v>259</v>
      </c>
      <c r="B38" s="62" t="s">
        <v>260</v>
      </c>
      <c r="C38" s="130"/>
      <c r="D38" s="131">
        <f>C37*5%</f>
        <v>948.55000000000007</v>
      </c>
      <c r="E38" s="129"/>
      <c r="F38" s="47">
        <f t="shared" si="0"/>
        <v>92952.231999999989</v>
      </c>
      <c r="G38" s="68"/>
    </row>
    <row r="39" spans="1:7" ht="15" customHeight="1">
      <c r="A39" s="60" t="s">
        <v>45</v>
      </c>
      <c r="B39" s="60" t="s">
        <v>241</v>
      </c>
      <c r="C39" s="130"/>
      <c r="D39" s="131"/>
      <c r="E39" s="129">
        <v>948.55</v>
      </c>
      <c r="F39" s="47">
        <f t="shared" si="0"/>
        <v>92003.681999999986</v>
      </c>
      <c r="G39" s="68"/>
    </row>
    <row r="40" spans="1:7" ht="15" customHeight="1">
      <c r="A40" s="62" t="s">
        <v>52</v>
      </c>
      <c r="B40" s="62" t="s">
        <v>256</v>
      </c>
      <c r="C40" s="130"/>
      <c r="D40" s="131">
        <f>C37*5%</f>
        <v>948.55000000000007</v>
      </c>
      <c r="E40" s="129"/>
      <c r="F40" s="47">
        <f t="shared" si="0"/>
        <v>92952.231999999989</v>
      </c>
      <c r="G40" s="68"/>
    </row>
    <row r="41" spans="1:7" ht="15" customHeight="1">
      <c r="A41" s="180">
        <v>43234</v>
      </c>
      <c r="B41" s="72" t="s">
        <v>244</v>
      </c>
      <c r="C41" s="130"/>
      <c r="D41" s="131"/>
      <c r="E41" s="129">
        <v>948.55</v>
      </c>
      <c r="F41" s="47">
        <f t="shared" si="0"/>
        <v>92003.681999999986</v>
      </c>
      <c r="G41" s="68"/>
    </row>
    <row r="42" spans="1:7" ht="15" customHeight="1">
      <c r="A42" s="62" t="s">
        <v>257</v>
      </c>
      <c r="B42" s="62" t="s">
        <v>258</v>
      </c>
      <c r="C42" s="130"/>
      <c r="D42" s="131">
        <f>C37*5%</f>
        <v>948.55000000000007</v>
      </c>
      <c r="E42" s="129"/>
      <c r="F42" s="47">
        <f t="shared" si="0"/>
        <v>92952.231999999989</v>
      </c>
      <c r="G42" s="68"/>
    </row>
    <row r="43" spans="1:7" ht="15" customHeight="1">
      <c r="A43" s="180">
        <v>43333</v>
      </c>
      <c r="B43" s="180" t="s">
        <v>238</v>
      </c>
      <c r="C43" s="130"/>
      <c r="D43" s="131"/>
      <c r="E43" s="129">
        <v>948.55</v>
      </c>
      <c r="F43" s="47">
        <f t="shared" si="0"/>
        <v>92003.681999999986</v>
      </c>
      <c r="G43" s="68"/>
    </row>
    <row r="44" spans="1:7" ht="15" customHeight="1">
      <c r="A44" s="62" t="s">
        <v>57</v>
      </c>
      <c r="B44" s="62" t="s">
        <v>261</v>
      </c>
      <c r="C44" s="130"/>
      <c r="D44" s="132">
        <f>C37*5%</f>
        <v>948.55000000000007</v>
      </c>
      <c r="E44" s="129"/>
      <c r="F44" s="47">
        <f t="shared" si="0"/>
        <v>92952.231999999989</v>
      </c>
      <c r="G44" s="68"/>
    </row>
    <row r="45" spans="1:7" ht="15" customHeight="1">
      <c r="A45" s="134" t="s">
        <v>52</v>
      </c>
      <c r="B45" s="182" t="s">
        <v>53</v>
      </c>
      <c r="C45" s="130">
        <v>18147</v>
      </c>
      <c r="D45" s="183"/>
      <c r="E45" s="129"/>
      <c r="F45" s="47">
        <f t="shared" si="0"/>
        <v>92952.231999999989</v>
      </c>
      <c r="G45" s="68"/>
    </row>
    <row r="46" spans="1:7" ht="15" customHeight="1">
      <c r="A46" s="62" t="s">
        <v>52</v>
      </c>
      <c r="B46" s="62" t="s">
        <v>256</v>
      </c>
      <c r="C46" s="130"/>
      <c r="D46" s="131">
        <f>C45*5%</f>
        <v>907.35</v>
      </c>
      <c r="E46" s="129"/>
      <c r="F46" s="47">
        <f t="shared" si="0"/>
        <v>93859.581999999995</v>
      </c>
      <c r="G46" s="68"/>
    </row>
    <row r="47" spans="1:7" ht="15" customHeight="1">
      <c r="A47" s="180">
        <v>43234</v>
      </c>
      <c r="B47" s="72" t="s">
        <v>244</v>
      </c>
      <c r="C47" s="130"/>
      <c r="D47" s="131"/>
      <c r="E47" s="129">
        <v>907.35</v>
      </c>
      <c r="F47" s="47">
        <f t="shared" si="0"/>
        <v>92952.231999999989</v>
      </c>
      <c r="G47" s="68"/>
    </row>
    <row r="48" spans="1:7" ht="15" customHeight="1">
      <c r="A48" s="62" t="s">
        <v>257</v>
      </c>
      <c r="B48" s="62" t="s">
        <v>258</v>
      </c>
      <c r="C48" s="130"/>
      <c r="D48" s="131">
        <f>C45*5%</f>
        <v>907.35</v>
      </c>
      <c r="E48" s="129"/>
      <c r="F48" s="47">
        <f t="shared" si="0"/>
        <v>93859.581999999995</v>
      </c>
      <c r="G48" s="68"/>
    </row>
    <row r="49" spans="1:8" ht="15" customHeight="1">
      <c r="A49" s="180">
        <v>43333</v>
      </c>
      <c r="B49" s="180" t="s">
        <v>268</v>
      </c>
      <c r="C49" s="130"/>
      <c r="D49" s="133"/>
      <c r="E49" s="129">
        <v>50.51</v>
      </c>
      <c r="F49" s="47">
        <f t="shared" si="0"/>
        <v>93809.072</v>
      </c>
      <c r="G49" s="68"/>
    </row>
    <row r="50" spans="1:8" s="2" customFormat="1" ht="15" customHeight="1">
      <c r="A50" s="180">
        <v>43399</v>
      </c>
      <c r="B50" s="180" t="s">
        <v>269</v>
      </c>
      <c r="C50" s="130"/>
      <c r="D50" s="133"/>
      <c r="E50" s="129">
        <v>856.84</v>
      </c>
      <c r="F50" s="47">
        <f t="shared" si="0"/>
        <v>92952.232000000004</v>
      </c>
      <c r="G50" s="75"/>
    </row>
    <row r="51" spans="1:8" s="2" customFormat="1" ht="15" customHeight="1">
      <c r="A51" s="62" t="s">
        <v>57</v>
      </c>
      <c r="B51" s="62" t="s">
        <v>261</v>
      </c>
      <c r="C51" s="130"/>
      <c r="D51" s="132">
        <f>C45*5%</f>
        <v>907.35</v>
      </c>
      <c r="E51" s="129"/>
      <c r="F51" s="47">
        <f t="shared" si="0"/>
        <v>93859.582000000009</v>
      </c>
      <c r="G51" s="75"/>
    </row>
    <row r="52" spans="1:8" ht="15" customHeight="1">
      <c r="A52" s="134" t="s">
        <v>55</v>
      </c>
      <c r="B52" s="182" t="s">
        <v>56</v>
      </c>
      <c r="C52" s="130">
        <v>17323</v>
      </c>
      <c r="D52" s="66"/>
      <c r="E52" s="129"/>
      <c r="F52" s="47">
        <f t="shared" si="0"/>
        <v>93859.582000000009</v>
      </c>
      <c r="G52" s="68"/>
    </row>
    <row r="53" spans="1:8" ht="15" customHeight="1">
      <c r="A53" s="62" t="s">
        <v>257</v>
      </c>
      <c r="B53" s="62" t="s">
        <v>258</v>
      </c>
      <c r="C53" s="130"/>
      <c r="D53" s="131">
        <f>C52*5%</f>
        <v>866.15000000000009</v>
      </c>
      <c r="E53" s="129"/>
      <c r="F53" s="47">
        <f t="shared" si="0"/>
        <v>94725.732000000004</v>
      </c>
      <c r="G53" s="68"/>
    </row>
    <row r="54" spans="1:8" s="2" customFormat="1" ht="15" customHeight="1">
      <c r="A54" s="180">
        <v>43399</v>
      </c>
      <c r="B54" s="180" t="s">
        <v>269</v>
      </c>
      <c r="C54" s="130"/>
      <c r="D54" s="131"/>
      <c r="E54" s="129">
        <v>866.15</v>
      </c>
      <c r="F54" s="47">
        <f t="shared" si="0"/>
        <v>93859.582000000009</v>
      </c>
      <c r="G54" s="75"/>
    </row>
    <row r="55" spans="1:8" s="2" customFormat="1" ht="15" customHeight="1">
      <c r="A55" s="62" t="s">
        <v>57</v>
      </c>
      <c r="B55" s="62" t="s">
        <v>261</v>
      </c>
      <c r="C55" s="130"/>
      <c r="D55" s="132">
        <f>C52*5%</f>
        <v>866.15000000000009</v>
      </c>
      <c r="E55" s="129"/>
      <c r="F55" s="47">
        <f t="shared" si="0"/>
        <v>94725.732000000004</v>
      </c>
      <c r="G55" s="75"/>
    </row>
    <row r="56" spans="1:8" ht="15" customHeight="1">
      <c r="A56" s="134" t="s">
        <v>57</v>
      </c>
      <c r="B56" s="182" t="s">
        <v>58</v>
      </c>
      <c r="C56" s="130">
        <v>16498</v>
      </c>
      <c r="D56" s="66"/>
      <c r="E56" s="129"/>
      <c r="F56" s="47">
        <f t="shared" si="0"/>
        <v>94725.732000000004</v>
      </c>
      <c r="G56" s="68"/>
    </row>
    <row r="57" spans="1:8" ht="15" customHeight="1">
      <c r="A57" s="62" t="s">
        <v>57</v>
      </c>
      <c r="B57" s="62" t="s">
        <v>261</v>
      </c>
      <c r="C57" s="130"/>
      <c r="D57" s="132">
        <f>C56*5%</f>
        <v>824.90000000000009</v>
      </c>
      <c r="E57" s="129"/>
      <c r="F57" s="47">
        <f t="shared" si="0"/>
        <v>95550.631999999998</v>
      </c>
      <c r="G57" s="68"/>
    </row>
    <row r="58" spans="1:8" ht="15" customHeight="1">
      <c r="A58" s="80" t="s">
        <v>59</v>
      </c>
      <c r="B58" s="56" t="s">
        <v>60</v>
      </c>
      <c r="C58" s="130">
        <v>15674.3</v>
      </c>
      <c r="D58" s="66"/>
      <c r="E58" s="128"/>
      <c r="F58" s="47">
        <f t="shared" si="0"/>
        <v>95550.631999999998</v>
      </c>
      <c r="G58" s="68"/>
    </row>
    <row r="59" spans="1:8" ht="15" customHeight="1">
      <c r="A59" s="184">
        <v>43451</v>
      </c>
      <c r="B59" s="185" t="s">
        <v>267</v>
      </c>
      <c r="C59" s="66"/>
      <c r="D59" s="66"/>
      <c r="E59" s="186">
        <v>95550.63</v>
      </c>
      <c r="F59" s="47">
        <f t="shared" si="0"/>
        <v>1.999999993131496E-3</v>
      </c>
      <c r="G59" s="68"/>
    </row>
    <row r="60" spans="1:8" ht="15" customHeight="1">
      <c r="A60" s="78"/>
      <c r="B60" s="45"/>
      <c r="C60" s="187"/>
      <c r="D60" s="66"/>
      <c r="E60" s="127"/>
      <c r="F60" s="47">
        <f t="shared" si="0"/>
        <v>1.999999993131496E-3</v>
      </c>
      <c r="G60" s="68"/>
      <c r="H60" s="77"/>
    </row>
    <row r="61" spans="1:8" ht="15" customHeight="1">
      <c r="A61" s="80"/>
      <c r="B61" s="56"/>
      <c r="C61" s="188"/>
      <c r="D61" s="127"/>
      <c r="E61" s="127"/>
      <c r="F61" s="47">
        <f t="shared" si="0"/>
        <v>1.999999993131496E-3</v>
      </c>
      <c r="G61" s="68"/>
    </row>
    <row r="62" spans="1:8" ht="15" customHeight="1">
      <c r="A62" s="45"/>
      <c r="B62" s="45"/>
      <c r="C62" s="189"/>
      <c r="D62" s="190"/>
      <c r="E62" s="88"/>
      <c r="F62" s="47">
        <f t="shared" si="0"/>
        <v>1.999999993131496E-3</v>
      </c>
    </row>
    <row r="63" spans="1:8" ht="15" customHeight="1">
      <c r="A63" s="442" t="s">
        <v>61</v>
      </c>
      <c r="B63" s="442"/>
      <c r="C63" s="137">
        <f>SUM(C19:C62)-C25-C26-C29-C30-C31-C34-C35</f>
        <v>116308.29999999999</v>
      </c>
      <c r="D63" s="137">
        <f>SUM(D19:D61)-D49</f>
        <v>12411.552</v>
      </c>
      <c r="E63" s="138">
        <f>SUM(E19:E61)</f>
        <v>128719.85</v>
      </c>
      <c r="F63" s="138">
        <f>+F62-D49</f>
        <v>1.999999993131496E-3</v>
      </c>
    </row>
    <row r="64" spans="1:8" ht="15" customHeight="1">
      <c r="A64" s="139"/>
      <c r="B64" s="139"/>
      <c r="F64" s="2"/>
      <c r="G64" s="2"/>
      <c r="H64" s="2"/>
    </row>
    <row r="65" spans="1:14" ht="15" customHeight="1">
      <c r="A65" s="191">
        <v>43451</v>
      </c>
      <c r="B65" s="192" t="s">
        <v>263</v>
      </c>
      <c r="F65" s="2"/>
      <c r="G65" s="2"/>
      <c r="H65" s="2"/>
    </row>
    <row r="66" spans="1:14" ht="15" customHeight="1">
      <c r="A66" s="139"/>
      <c r="B66" s="192" t="s">
        <v>317</v>
      </c>
      <c r="F66" s="2"/>
      <c r="G66" s="2"/>
      <c r="H66" s="2"/>
    </row>
    <row r="67" spans="1:14" ht="15" customHeight="1">
      <c r="C67" s="193"/>
      <c r="D67" s="75"/>
      <c r="E67" s="75"/>
      <c r="F67" s="68"/>
      <c r="G67" s="68"/>
    </row>
    <row r="68" spans="1:14" ht="15" customHeight="1">
      <c r="A68" s="194" t="s">
        <v>270</v>
      </c>
      <c r="B68" s="194" t="s">
        <v>271</v>
      </c>
      <c r="C68" s="194" t="s">
        <v>272</v>
      </c>
      <c r="D68" s="194" t="s">
        <v>273</v>
      </c>
      <c r="E68" s="194" t="s">
        <v>274</v>
      </c>
      <c r="F68" s="194" t="s">
        <v>275</v>
      </c>
      <c r="G68" s="194" t="s">
        <v>276</v>
      </c>
      <c r="H68" s="195" t="s">
        <v>277</v>
      </c>
      <c r="I68" s="195" t="s">
        <v>278</v>
      </c>
      <c r="J68" s="194" t="s">
        <v>279</v>
      </c>
      <c r="K68" s="195" t="s">
        <v>280</v>
      </c>
      <c r="L68" s="194" t="s">
        <v>281</v>
      </c>
      <c r="M68" s="194" t="s">
        <v>282</v>
      </c>
      <c r="N68" s="194" t="s">
        <v>283</v>
      </c>
    </row>
    <row r="69" spans="1:14" ht="15" customHeight="1">
      <c r="A69" s="173">
        <v>2</v>
      </c>
      <c r="B69" s="196" t="s">
        <v>289</v>
      </c>
      <c r="C69" s="196" t="s">
        <v>290</v>
      </c>
      <c r="D69" s="196" t="s">
        <v>284</v>
      </c>
      <c r="E69" s="196" t="s">
        <v>285</v>
      </c>
      <c r="F69" s="196" t="s">
        <v>286</v>
      </c>
      <c r="G69" s="197" t="s">
        <v>291</v>
      </c>
      <c r="H69" s="198">
        <v>42942</v>
      </c>
      <c r="I69" s="199" t="s">
        <v>287</v>
      </c>
      <c r="J69" s="194" t="s">
        <v>288</v>
      </c>
      <c r="K69" s="200">
        <v>43451</v>
      </c>
      <c r="L69" s="201" t="s">
        <v>292</v>
      </c>
      <c r="M69" s="202" t="s">
        <v>293</v>
      </c>
      <c r="N69" s="196"/>
    </row>
    <row r="70" spans="1:14" ht="15" customHeight="1">
      <c r="B70" s="3"/>
      <c r="E70" s="75"/>
      <c r="F70" s="68"/>
    </row>
    <row r="71" spans="1:14" ht="15" customHeight="1">
      <c r="F71" s="68"/>
    </row>
    <row r="72" spans="1:14" ht="15" customHeight="1">
      <c r="A72" s="176"/>
      <c r="B72" s="203"/>
      <c r="C72" s="204"/>
      <c r="D72" s="176"/>
      <c r="E72" s="176"/>
      <c r="F72" s="176"/>
    </row>
    <row r="73" spans="1:14" s="4" customFormat="1" ht="15" customHeight="1">
      <c r="A73" s="205"/>
      <c r="B73" s="206"/>
      <c r="C73" s="207"/>
      <c r="D73" s="175">
        <f ca="1">TODAY()</f>
        <v>45307</v>
      </c>
      <c r="E73" s="208"/>
      <c r="F73" s="176"/>
      <c r="G73" s="3"/>
      <c r="H73" s="3"/>
      <c r="I73" s="3"/>
    </row>
    <row r="74" spans="1:14" ht="15" customHeight="1">
      <c r="A74" s="205"/>
      <c r="B74" s="206"/>
      <c r="C74" s="207"/>
      <c r="D74" s="175"/>
      <c r="E74" s="208"/>
      <c r="F74" s="176"/>
    </row>
    <row r="75" spans="1:14" ht="15" customHeight="1">
      <c r="A75" s="176"/>
      <c r="B75" s="203"/>
      <c r="C75" s="204"/>
      <c r="D75" s="209" t="s">
        <v>0</v>
      </c>
      <c r="E75" s="209" t="s">
        <v>1</v>
      </c>
      <c r="F75" s="176"/>
    </row>
    <row r="76" spans="1:14" ht="15" customHeight="1">
      <c r="A76" s="210" t="s">
        <v>2</v>
      </c>
      <c r="B76" s="211"/>
      <c r="C76" s="176" t="s">
        <v>3</v>
      </c>
      <c r="D76" s="212" t="s">
        <v>4</v>
      </c>
      <c r="E76" s="213">
        <f>+D88</f>
        <v>116308.3</v>
      </c>
      <c r="F76" s="176"/>
    </row>
    <row r="77" spans="1:14" ht="15" customHeight="1">
      <c r="A77" s="214" t="s">
        <v>5</v>
      </c>
      <c r="B77" s="215" t="s">
        <v>6</v>
      </c>
      <c r="C77" s="176" t="s">
        <v>7</v>
      </c>
      <c r="D77" s="212" t="s">
        <v>8</v>
      </c>
      <c r="E77" s="213">
        <f>+D128</f>
        <v>17671.142000000003</v>
      </c>
      <c r="F77" s="176"/>
    </row>
    <row r="78" spans="1:14" ht="15" customHeight="1">
      <c r="A78" s="214" t="s">
        <v>9</v>
      </c>
      <c r="B78" s="216"/>
      <c r="C78" s="176" t="s">
        <v>10</v>
      </c>
      <c r="D78" s="212" t="s">
        <v>11</v>
      </c>
      <c r="E78" s="213">
        <f>SUM(E76:E77)</f>
        <v>133979.44200000001</v>
      </c>
      <c r="F78" s="176"/>
    </row>
    <row r="79" spans="1:14" s="2" customFormat="1" ht="15" customHeight="1">
      <c r="A79" s="214" t="s">
        <v>12</v>
      </c>
      <c r="B79" s="216" t="s">
        <v>13</v>
      </c>
      <c r="C79" s="176" t="s">
        <v>14</v>
      </c>
      <c r="D79" s="212" t="s">
        <v>15</v>
      </c>
      <c r="E79" s="213">
        <f>+E128</f>
        <v>29751.270999999993</v>
      </c>
      <c r="F79" s="176"/>
      <c r="G79" s="3"/>
      <c r="H79" s="3"/>
      <c r="I79" s="3"/>
    </row>
    <row r="80" spans="1:14" s="2" customFormat="1" ht="15" customHeight="1" thickBot="1">
      <c r="A80" s="214" t="s">
        <v>16</v>
      </c>
      <c r="B80" s="217" t="s">
        <v>17</v>
      </c>
      <c r="C80" s="176" t="s">
        <v>18</v>
      </c>
      <c r="D80" s="218" t="s">
        <v>19</v>
      </c>
      <c r="E80" s="219">
        <f>+E78-E79</f>
        <v>104228.17100000002</v>
      </c>
      <c r="F80" s="176"/>
      <c r="G80" s="3"/>
      <c r="H80" s="3"/>
      <c r="I80" s="3"/>
    </row>
    <row r="81" spans="1:9" s="2" customFormat="1" ht="15" customHeight="1" thickTop="1">
      <c r="A81" s="214" t="s">
        <v>20</v>
      </c>
      <c r="B81" s="216"/>
      <c r="C81" s="176" t="s">
        <v>21</v>
      </c>
      <c r="D81" s="220" t="s">
        <v>22</v>
      </c>
      <c r="E81" s="221">
        <f>SUM(C103:C120)</f>
        <v>68624.639999999999</v>
      </c>
      <c r="F81" s="220"/>
      <c r="G81" s="3"/>
      <c r="H81" s="3"/>
      <c r="I81" s="3"/>
    </row>
    <row r="82" spans="1:9" ht="15" customHeight="1">
      <c r="A82" s="176" t="s">
        <v>23</v>
      </c>
      <c r="B82" s="222" t="s">
        <v>24</v>
      </c>
      <c r="C82" s="176" t="s">
        <v>25</v>
      </c>
      <c r="D82" s="223" t="s">
        <v>26</v>
      </c>
      <c r="E82" s="224">
        <f>SUM(C122:C123)</f>
        <v>32172.3</v>
      </c>
      <c r="F82" s="176"/>
    </row>
    <row r="83" spans="1:9" ht="15" customHeight="1">
      <c r="A83" s="176" t="s">
        <v>27</v>
      </c>
      <c r="B83" s="216" t="s">
        <v>28</v>
      </c>
      <c r="C83" s="176"/>
      <c r="D83" s="225" t="s">
        <v>8</v>
      </c>
      <c r="E83" s="226">
        <f>D128-(E94+E95+E98+E107+E109+E110+E116+E101+E112+E118)</f>
        <v>3431.2310000000034</v>
      </c>
      <c r="F83" s="227"/>
    </row>
    <row r="84" spans="1:9" ht="15" customHeight="1">
      <c r="A84" s="418"/>
      <c r="B84" s="418"/>
      <c r="C84" s="418"/>
      <c r="D84" s="418"/>
      <c r="E84" s="418"/>
      <c r="F84" s="418"/>
    </row>
    <row r="85" spans="1:9" ht="15" customHeight="1" thickBot="1">
      <c r="A85" s="206"/>
      <c r="B85" s="211" t="s">
        <v>29</v>
      </c>
      <c r="C85" s="228"/>
      <c r="D85" s="229"/>
      <c r="E85" s="230"/>
      <c r="F85" s="176"/>
    </row>
    <row r="86" spans="1:9" ht="15" customHeight="1">
      <c r="A86" s="419" t="s">
        <v>30</v>
      </c>
      <c r="B86" s="419"/>
      <c r="C86" s="423" t="s">
        <v>31</v>
      </c>
      <c r="D86" s="425" t="s">
        <v>32</v>
      </c>
      <c r="E86" s="425" t="s">
        <v>33</v>
      </c>
      <c r="F86" s="427" t="s">
        <v>34</v>
      </c>
    </row>
    <row r="87" spans="1:9" ht="15" customHeight="1" thickBot="1">
      <c r="A87" s="420"/>
      <c r="B87" s="420"/>
      <c r="C87" s="424"/>
      <c r="D87" s="426"/>
      <c r="E87" s="426"/>
      <c r="F87" s="428"/>
    </row>
    <row r="88" spans="1:9" ht="15" customHeight="1">
      <c r="A88" s="231"/>
      <c r="B88" s="232" t="s">
        <v>35</v>
      </c>
      <c r="C88" s="233"/>
      <c r="D88" s="234">
        <v>116308.3</v>
      </c>
      <c r="E88" s="235"/>
      <c r="F88" s="236">
        <f>D88-E88</f>
        <v>116308.3</v>
      </c>
    </row>
    <row r="89" spans="1:9" ht="15" customHeight="1">
      <c r="A89" s="237" t="s">
        <v>36</v>
      </c>
      <c r="B89" s="232" t="s">
        <v>37</v>
      </c>
      <c r="C89" s="233">
        <v>9900</v>
      </c>
      <c r="D89" s="234"/>
      <c r="E89" s="235"/>
      <c r="F89" s="238">
        <f>F88+D89-E89</f>
        <v>116308.3</v>
      </c>
    </row>
    <row r="90" spans="1:9" ht="15" customHeight="1">
      <c r="A90" s="239" t="s">
        <v>38</v>
      </c>
      <c r="B90" s="239" t="s">
        <v>39</v>
      </c>
      <c r="C90" s="240"/>
      <c r="D90" s="241"/>
      <c r="E90" s="242">
        <v>3639</v>
      </c>
      <c r="F90" s="238">
        <f t="shared" ref="F90:F127" si="1">F89+D90-E90</f>
        <v>112669.3</v>
      </c>
    </row>
    <row r="91" spans="1:9" ht="15" customHeight="1">
      <c r="A91" s="239" t="s">
        <v>40</v>
      </c>
      <c r="B91" s="239" t="s">
        <v>41</v>
      </c>
      <c r="C91" s="204"/>
      <c r="D91" s="241"/>
      <c r="E91" s="242">
        <v>6261</v>
      </c>
      <c r="F91" s="238">
        <f t="shared" si="1"/>
        <v>106408.3</v>
      </c>
      <c r="G91" s="37"/>
      <c r="H91" s="37"/>
      <c r="I91" s="37"/>
    </row>
    <row r="92" spans="1:9" ht="15" customHeight="1">
      <c r="A92" s="231" t="s">
        <v>42</v>
      </c>
      <c r="B92" s="232" t="s">
        <v>43</v>
      </c>
      <c r="C92" s="234">
        <v>19795</v>
      </c>
      <c r="D92" s="241"/>
      <c r="E92" s="243"/>
      <c r="F92" s="238">
        <f t="shared" si="1"/>
        <v>106408.3</v>
      </c>
      <c r="G92" s="37"/>
      <c r="H92" s="37"/>
      <c r="I92" s="37"/>
    </row>
    <row r="93" spans="1:9" s="97" customFormat="1" ht="15" customHeight="1">
      <c r="A93" s="244" t="s">
        <v>42</v>
      </c>
      <c r="B93" s="244" t="s">
        <v>44</v>
      </c>
      <c r="C93" s="233"/>
      <c r="D93" s="245">
        <f>C92*5%*5</f>
        <v>4948.75</v>
      </c>
      <c r="E93" s="243"/>
      <c r="F93" s="238">
        <f t="shared" si="1"/>
        <v>111357.05</v>
      </c>
      <c r="G93" s="96"/>
      <c r="H93" s="96"/>
      <c r="I93" s="26"/>
    </row>
    <row r="94" spans="1:9" s="97" customFormat="1" ht="15" customHeight="1">
      <c r="A94" s="239" t="s">
        <v>45</v>
      </c>
      <c r="B94" s="239" t="s">
        <v>241</v>
      </c>
      <c r="C94" s="233"/>
      <c r="D94" s="245"/>
      <c r="E94" s="246">
        <v>3756.57</v>
      </c>
      <c r="F94" s="238">
        <f t="shared" si="1"/>
        <v>107600.48</v>
      </c>
      <c r="G94" s="96"/>
      <c r="H94" s="96"/>
      <c r="I94" s="26"/>
    </row>
    <row r="95" spans="1:9" s="97" customFormat="1" ht="15" customHeight="1">
      <c r="A95" s="247" t="s">
        <v>46</v>
      </c>
      <c r="B95" s="247" t="s">
        <v>242</v>
      </c>
      <c r="C95" s="233"/>
      <c r="D95" s="248"/>
      <c r="E95" s="246">
        <v>1192.18</v>
      </c>
      <c r="F95" s="238">
        <f t="shared" si="1"/>
        <v>106408.3</v>
      </c>
      <c r="G95" s="96"/>
      <c r="H95" s="96"/>
      <c r="I95" s="26"/>
    </row>
    <row r="96" spans="1:9" s="97" customFormat="1" ht="15" customHeight="1">
      <c r="A96" s="247" t="s">
        <v>46</v>
      </c>
      <c r="B96" s="247" t="s">
        <v>243</v>
      </c>
      <c r="C96" s="249"/>
      <c r="D96" s="248"/>
      <c r="E96" s="246">
        <v>667.29</v>
      </c>
      <c r="F96" s="238">
        <f t="shared" si="1"/>
        <v>105741.01000000001</v>
      </c>
      <c r="G96" s="96"/>
      <c r="H96" s="96"/>
      <c r="I96" s="26"/>
    </row>
    <row r="97" spans="1:9" s="97" customFormat="1" ht="15" customHeight="1">
      <c r="A97" s="250">
        <v>43185</v>
      </c>
      <c r="B97" s="244" t="s">
        <v>47</v>
      </c>
      <c r="C97" s="249"/>
      <c r="D97" s="245">
        <v>1912.77</v>
      </c>
      <c r="E97" s="246"/>
      <c r="F97" s="238">
        <f t="shared" si="1"/>
        <v>107653.78000000001</v>
      </c>
      <c r="G97" s="101"/>
      <c r="H97" s="102"/>
      <c r="I97" s="26"/>
    </row>
    <row r="98" spans="1:9" s="97" customFormat="1" ht="15" customHeight="1">
      <c r="A98" s="251">
        <v>43234</v>
      </c>
      <c r="B98" s="252" t="s">
        <v>244</v>
      </c>
      <c r="C98" s="249"/>
      <c r="D98" s="248"/>
      <c r="E98" s="246">
        <v>1912.771</v>
      </c>
      <c r="F98" s="238">
        <f t="shared" si="1"/>
        <v>105741.00900000002</v>
      </c>
      <c r="G98" s="106"/>
      <c r="H98" s="106"/>
      <c r="I98" s="26"/>
    </row>
    <row r="99" spans="1:9" s="97" customFormat="1" ht="15" customHeight="1">
      <c r="A99" s="251">
        <v>43256</v>
      </c>
      <c r="B99" s="251" t="s">
        <v>246</v>
      </c>
      <c r="C99" s="249">
        <f>C92-(E96+E99)</f>
        <v>16418.71</v>
      </c>
      <c r="D99" s="248"/>
      <c r="E99" s="246">
        <v>2709</v>
      </c>
      <c r="F99" s="238">
        <f t="shared" si="1"/>
        <v>103032.00900000002</v>
      </c>
      <c r="G99" s="106"/>
      <c r="H99" s="106"/>
      <c r="I99" s="26"/>
    </row>
    <row r="100" spans="1:9" s="97" customFormat="1" ht="15" customHeight="1">
      <c r="A100" s="250">
        <v>43246</v>
      </c>
      <c r="B100" s="244" t="s">
        <v>253</v>
      </c>
      <c r="C100" s="247"/>
      <c r="D100" s="245">
        <v>820.94</v>
      </c>
      <c r="E100" s="246"/>
      <c r="F100" s="238">
        <f t="shared" si="1"/>
        <v>103852.94900000002</v>
      </c>
      <c r="G100" s="106"/>
      <c r="H100" s="106"/>
      <c r="I100" s="26"/>
    </row>
    <row r="101" spans="1:9" s="97" customFormat="1" ht="15" customHeight="1">
      <c r="A101" s="251">
        <v>43292</v>
      </c>
      <c r="B101" s="251" t="s">
        <v>247</v>
      </c>
      <c r="C101" s="247"/>
      <c r="D101" s="245"/>
      <c r="E101" s="246">
        <v>820.94</v>
      </c>
      <c r="F101" s="238">
        <f t="shared" si="1"/>
        <v>103032.00900000002</v>
      </c>
      <c r="G101" s="106"/>
      <c r="H101" s="104"/>
      <c r="I101" s="26"/>
    </row>
    <row r="102" spans="1:9" s="97" customFormat="1" ht="15" customHeight="1">
      <c r="A102" s="251">
        <v>43292</v>
      </c>
      <c r="B102" s="251" t="s">
        <v>248</v>
      </c>
      <c r="C102" s="253">
        <f>C92-(E96+E99+E102)</f>
        <v>15524.119999999999</v>
      </c>
      <c r="D102" s="245"/>
      <c r="E102" s="246">
        <v>894.59</v>
      </c>
      <c r="F102" s="238">
        <f t="shared" si="1"/>
        <v>102137.41900000002</v>
      </c>
      <c r="G102" s="108"/>
      <c r="H102" s="104"/>
      <c r="I102" s="26"/>
    </row>
    <row r="103" spans="1:9" s="97" customFormat="1" ht="15" customHeight="1">
      <c r="A103" s="251">
        <v>43333</v>
      </c>
      <c r="B103" s="251" t="s">
        <v>238</v>
      </c>
      <c r="C103" s="253">
        <f>C102-E103</f>
        <v>14183.64</v>
      </c>
      <c r="D103" s="245"/>
      <c r="E103" s="246">
        <v>1340.48</v>
      </c>
      <c r="F103" s="238">
        <f t="shared" si="1"/>
        <v>100796.93900000003</v>
      </c>
      <c r="G103" s="106"/>
      <c r="H103" s="104"/>
      <c r="I103" s="26"/>
    </row>
    <row r="104" spans="1:9" s="97" customFormat="1" ht="15" customHeight="1">
      <c r="A104" s="250">
        <v>43307</v>
      </c>
      <c r="B104" s="244" t="s">
        <v>254</v>
      </c>
      <c r="C104" s="253"/>
      <c r="D104" s="245">
        <f>C103*5%</f>
        <v>709.18200000000002</v>
      </c>
      <c r="E104" s="246"/>
      <c r="F104" s="238">
        <f t="shared" si="1"/>
        <v>101506.12100000003</v>
      </c>
      <c r="G104" s="106"/>
      <c r="H104" s="109"/>
      <c r="I104" s="26"/>
    </row>
    <row r="105" spans="1:9" s="97" customFormat="1" ht="15" customHeight="1">
      <c r="A105" s="254" t="s">
        <v>48</v>
      </c>
      <c r="B105" s="255" t="s">
        <v>49</v>
      </c>
      <c r="C105" s="234">
        <v>18971</v>
      </c>
      <c r="D105" s="241"/>
      <c r="E105" s="246"/>
      <c r="F105" s="238">
        <f t="shared" si="1"/>
        <v>101506.12100000003</v>
      </c>
      <c r="G105" s="106"/>
      <c r="H105" s="106"/>
      <c r="I105" s="26"/>
    </row>
    <row r="106" spans="1:9" s="97" customFormat="1" ht="15" customHeight="1">
      <c r="A106" s="244" t="s">
        <v>48</v>
      </c>
      <c r="B106" s="244" t="s">
        <v>50</v>
      </c>
      <c r="C106" s="234"/>
      <c r="D106" s="245">
        <f>C105*5%*2</f>
        <v>1897.1000000000001</v>
      </c>
      <c r="E106" s="246"/>
      <c r="F106" s="238">
        <f t="shared" si="1"/>
        <v>103403.22100000003</v>
      </c>
      <c r="G106" s="106"/>
      <c r="H106" s="106"/>
      <c r="I106" s="26"/>
    </row>
    <row r="107" spans="1:9" s="97" customFormat="1" ht="15" customHeight="1">
      <c r="A107" s="247" t="s">
        <v>46</v>
      </c>
      <c r="B107" s="247" t="s">
        <v>242</v>
      </c>
      <c r="C107" s="234"/>
      <c r="D107" s="245"/>
      <c r="E107" s="246">
        <v>1897.1</v>
      </c>
      <c r="F107" s="238">
        <f t="shared" si="1"/>
        <v>101506.12100000003</v>
      </c>
      <c r="G107" s="111"/>
      <c r="H107" s="112"/>
      <c r="I107" s="26"/>
    </row>
    <row r="108" spans="1:9" s="97" customFormat="1" ht="15" customHeight="1">
      <c r="A108" s="250">
        <v>43175</v>
      </c>
      <c r="B108" s="244" t="s">
        <v>51</v>
      </c>
      <c r="C108" s="234"/>
      <c r="D108" s="245">
        <f>C105*5%*2</f>
        <v>1897.1000000000001</v>
      </c>
      <c r="E108" s="246"/>
      <c r="F108" s="238">
        <f t="shared" si="1"/>
        <v>103403.22100000003</v>
      </c>
      <c r="G108" s="26"/>
      <c r="H108" s="106"/>
      <c r="I108" s="26"/>
    </row>
    <row r="109" spans="1:9" s="97" customFormat="1" ht="15" customHeight="1">
      <c r="A109" s="251">
        <v>43234</v>
      </c>
      <c r="B109" s="252" t="s">
        <v>244</v>
      </c>
      <c r="C109" s="234"/>
      <c r="D109" s="248"/>
      <c r="E109" s="246">
        <v>1807</v>
      </c>
      <c r="F109" s="238">
        <f t="shared" si="1"/>
        <v>101596.22100000003</v>
      </c>
      <c r="G109" s="26"/>
      <c r="H109" s="106"/>
      <c r="I109" s="26"/>
    </row>
    <row r="110" spans="1:9" s="97" customFormat="1" ht="15" customHeight="1">
      <c r="A110" s="251">
        <v>43256</v>
      </c>
      <c r="B110" s="252" t="s">
        <v>245</v>
      </c>
      <c r="C110" s="234"/>
      <c r="D110" s="256"/>
      <c r="E110" s="246">
        <v>90.1</v>
      </c>
      <c r="F110" s="238">
        <f t="shared" si="1"/>
        <v>101506.12100000003</v>
      </c>
      <c r="G110" s="26"/>
      <c r="H110" s="106"/>
      <c r="I110" s="26"/>
    </row>
    <row r="111" spans="1:9" s="97" customFormat="1" ht="15" customHeight="1">
      <c r="A111" s="250">
        <v>43246</v>
      </c>
      <c r="B111" s="244" t="s">
        <v>252</v>
      </c>
      <c r="C111" s="234"/>
      <c r="D111" s="257">
        <f>C105*5%</f>
        <v>948.55000000000007</v>
      </c>
      <c r="E111" s="246"/>
      <c r="F111" s="238">
        <f t="shared" si="1"/>
        <v>102454.67100000003</v>
      </c>
      <c r="G111" s="106"/>
      <c r="H111" s="106"/>
      <c r="I111" s="26"/>
    </row>
    <row r="112" spans="1:9" s="97" customFormat="1" ht="15" customHeight="1">
      <c r="A112" s="251">
        <v>43292</v>
      </c>
      <c r="B112" s="251" t="s">
        <v>247</v>
      </c>
      <c r="C112" s="234"/>
      <c r="D112" s="257"/>
      <c r="E112" s="246">
        <v>948.55</v>
      </c>
      <c r="F112" s="238">
        <f t="shared" si="1"/>
        <v>101506.12100000003</v>
      </c>
      <c r="G112" s="106"/>
      <c r="H112" s="106"/>
      <c r="I112" s="26"/>
    </row>
    <row r="113" spans="1:9" s="97" customFormat="1" ht="15" customHeight="1">
      <c r="A113" s="250">
        <v>43307</v>
      </c>
      <c r="B113" s="244" t="s">
        <v>254</v>
      </c>
      <c r="C113" s="234"/>
      <c r="D113" s="257">
        <f>C105*5%</f>
        <v>948.55000000000007</v>
      </c>
      <c r="E113" s="246"/>
      <c r="F113" s="238">
        <f t="shared" si="1"/>
        <v>102454.67100000003</v>
      </c>
      <c r="G113" s="117"/>
      <c r="H113" s="118"/>
      <c r="I113" s="26"/>
    </row>
    <row r="114" spans="1:9" s="97" customFormat="1" ht="15" customHeight="1">
      <c r="A114" s="254" t="s">
        <v>52</v>
      </c>
      <c r="B114" s="255" t="s">
        <v>53</v>
      </c>
      <c r="C114" s="234">
        <v>18147</v>
      </c>
      <c r="D114" s="240"/>
      <c r="E114" s="246"/>
      <c r="F114" s="238">
        <f t="shared" si="1"/>
        <v>102454.67100000003</v>
      </c>
      <c r="G114" s="111"/>
      <c r="H114" s="119"/>
      <c r="I114" s="26"/>
    </row>
    <row r="115" spans="1:9" s="97" customFormat="1" ht="15" customHeight="1">
      <c r="A115" s="250">
        <v>43216</v>
      </c>
      <c r="B115" s="244" t="s">
        <v>54</v>
      </c>
      <c r="C115" s="234"/>
      <c r="D115" s="258">
        <f>C114*5%</f>
        <v>907.35</v>
      </c>
      <c r="E115" s="246"/>
      <c r="F115" s="238">
        <f t="shared" si="1"/>
        <v>103362.02100000004</v>
      </c>
      <c r="G115" s="120"/>
      <c r="H115" s="113"/>
      <c r="I115" s="26"/>
    </row>
    <row r="116" spans="1:9" ht="15" customHeight="1">
      <c r="A116" s="251">
        <v>43256</v>
      </c>
      <c r="B116" s="252" t="s">
        <v>245</v>
      </c>
      <c r="C116" s="234"/>
      <c r="D116" s="259"/>
      <c r="E116" s="246">
        <v>907.35</v>
      </c>
      <c r="F116" s="238">
        <f t="shared" si="1"/>
        <v>102454.67100000003</v>
      </c>
      <c r="G116" s="37"/>
      <c r="H116" s="37"/>
      <c r="I116" s="37"/>
    </row>
    <row r="117" spans="1:9" ht="15" customHeight="1">
      <c r="A117" s="250">
        <v>43246</v>
      </c>
      <c r="B117" s="244" t="s">
        <v>252</v>
      </c>
      <c r="C117" s="234"/>
      <c r="D117" s="260">
        <f>C114*5%</f>
        <v>907.35</v>
      </c>
      <c r="E117" s="246"/>
      <c r="F117" s="238">
        <f t="shared" si="1"/>
        <v>103362.02100000004</v>
      </c>
      <c r="G117" s="37"/>
      <c r="H117" s="37"/>
      <c r="I117" s="37"/>
    </row>
    <row r="118" spans="1:9" ht="15" customHeight="1">
      <c r="A118" s="251">
        <v>43292</v>
      </c>
      <c r="B118" s="251" t="s">
        <v>247</v>
      </c>
      <c r="C118" s="234"/>
      <c r="D118" s="260"/>
      <c r="E118" s="246">
        <v>907.35</v>
      </c>
      <c r="F118" s="238">
        <f t="shared" si="1"/>
        <v>102454.67100000003</v>
      </c>
    </row>
    <row r="119" spans="1:9" ht="15" customHeight="1">
      <c r="A119" s="250">
        <v>43307</v>
      </c>
      <c r="B119" s="244" t="s">
        <v>254</v>
      </c>
      <c r="C119" s="234"/>
      <c r="D119" s="260">
        <f>C114*5%</f>
        <v>907.35</v>
      </c>
      <c r="E119" s="246"/>
      <c r="F119" s="238">
        <f t="shared" si="1"/>
        <v>103362.02100000004</v>
      </c>
    </row>
    <row r="120" spans="1:9" ht="15" customHeight="1">
      <c r="A120" s="254" t="s">
        <v>55</v>
      </c>
      <c r="B120" s="255" t="s">
        <v>56</v>
      </c>
      <c r="C120" s="234">
        <v>17323</v>
      </c>
      <c r="D120" s="241"/>
      <c r="E120" s="246"/>
      <c r="F120" s="238">
        <f t="shared" si="1"/>
        <v>103362.02100000004</v>
      </c>
    </row>
    <row r="121" spans="1:9" ht="15" customHeight="1">
      <c r="A121" s="250">
        <v>43307</v>
      </c>
      <c r="B121" s="244" t="s">
        <v>254</v>
      </c>
      <c r="C121" s="234"/>
      <c r="D121" s="260">
        <f>C120*5%</f>
        <v>866.15000000000009</v>
      </c>
      <c r="E121" s="246"/>
      <c r="F121" s="238">
        <f t="shared" si="1"/>
        <v>104228.17100000003</v>
      </c>
    </row>
    <row r="122" spans="1:9" ht="15" customHeight="1">
      <c r="A122" s="254" t="s">
        <v>57</v>
      </c>
      <c r="B122" s="255" t="s">
        <v>58</v>
      </c>
      <c r="C122" s="234">
        <v>16498</v>
      </c>
      <c r="D122" s="241"/>
      <c r="E122" s="246"/>
      <c r="F122" s="238">
        <f t="shared" si="1"/>
        <v>104228.17100000003</v>
      </c>
    </row>
    <row r="123" spans="1:9" ht="15" customHeight="1">
      <c r="A123" s="231" t="s">
        <v>59</v>
      </c>
      <c r="B123" s="232" t="s">
        <v>60</v>
      </c>
      <c r="C123" s="234">
        <v>15674.3</v>
      </c>
      <c r="D123" s="241"/>
      <c r="E123" s="242"/>
      <c r="F123" s="238">
        <f t="shared" si="1"/>
        <v>104228.17100000003</v>
      </c>
    </row>
    <row r="124" spans="1:9" ht="15" customHeight="1">
      <c r="A124" s="239"/>
      <c r="B124" s="239"/>
      <c r="C124" s="241"/>
      <c r="D124" s="241"/>
      <c r="E124" s="242"/>
      <c r="F124" s="238">
        <f t="shared" si="1"/>
        <v>104228.17100000003</v>
      </c>
    </row>
    <row r="125" spans="1:9" ht="15" customHeight="1">
      <c r="A125" s="231"/>
      <c r="B125" s="232"/>
      <c r="C125" s="261"/>
      <c r="D125" s="241"/>
      <c r="E125" s="241"/>
      <c r="F125" s="238">
        <f t="shared" si="1"/>
        <v>104228.17100000003</v>
      </c>
    </row>
    <row r="126" spans="1:9" ht="15" customHeight="1">
      <c r="A126" s="231"/>
      <c r="B126" s="232"/>
      <c r="C126" s="261"/>
      <c r="D126" s="241"/>
      <c r="E126" s="241"/>
      <c r="F126" s="238">
        <f t="shared" si="1"/>
        <v>104228.17100000003</v>
      </c>
    </row>
    <row r="127" spans="1:9" ht="15" customHeight="1">
      <c r="A127" s="232"/>
      <c r="B127" s="232"/>
      <c r="C127" s="233"/>
      <c r="D127" s="262"/>
      <c r="E127" s="263"/>
      <c r="F127" s="238">
        <f t="shared" si="1"/>
        <v>104228.17100000003</v>
      </c>
    </row>
    <row r="128" spans="1:9" ht="15" customHeight="1">
      <c r="A128" s="429" t="s">
        <v>61</v>
      </c>
      <c r="B128" s="429"/>
      <c r="C128" s="264">
        <f>SUM(C89:C127)</f>
        <v>162434.76999999999</v>
      </c>
      <c r="D128" s="264">
        <f>SUM(D89:D126)</f>
        <v>17671.142000000003</v>
      </c>
      <c r="E128" s="265">
        <f>SUM(E89:E126)</f>
        <v>29751.270999999993</v>
      </c>
      <c r="F128" s="265">
        <f>+F127</f>
        <v>104228.17100000003</v>
      </c>
    </row>
  </sheetData>
  <mergeCells count="16">
    <mergeCell ref="E86:E87"/>
    <mergeCell ref="F86:F87"/>
    <mergeCell ref="A128:B128"/>
    <mergeCell ref="A63:B63"/>
    <mergeCell ref="A84:F84"/>
    <mergeCell ref="A86:A87"/>
    <mergeCell ref="B86:B87"/>
    <mergeCell ref="C86:C87"/>
    <mergeCell ref="D86:D87"/>
    <mergeCell ref="A14:F14"/>
    <mergeCell ref="A16:A17"/>
    <mergeCell ref="B16:B17"/>
    <mergeCell ref="C16:C17"/>
    <mergeCell ref="D16:D17"/>
    <mergeCell ref="E16:E17"/>
    <mergeCell ref="F16:F17"/>
  </mergeCells>
  <pageMargins left="0.7" right="0.7" top="0.75" bottom="0.75" header="0.3" footer="0.3"/>
  <pageSetup paperSize="9" scale="70" orientation="landscape" verticalDpi="0" r:id="rId1"/>
  <ignoredErrors>
    <ignoredError sqref="G69" numberStoredAsText="1"/>
  </ignoredError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85"/>
  <sheetViews>
    <sheetView topLeftCell="A18" workbookViewId="0">
      <selection activeCell="C32" sqref="C32"/>
    </sheetView>
  </sheetViews>
  <sheetFormatPr defaultRowHeight="15" customHeight="1"/>
  <cols>
    <col min="1" max="1" width="13.5703125" style="146" customWidth="1"/>
    <col min="2" max="2" width="74.7109375" style="146" customWidth="1"/>
    <col min="3" max="3" width="23.7109375" style="146" customWidth="1"/>
    <col min="4" max="4" width="17.7109375" style="146" customWidth="1"/>
    <col min="5" max="5" width="15.85546875" style="146" customWidth="1"/>
    <col min="6" max="6" width="13.28515625" style="146" customWidth="1"/>
    <col min="7" max="16384" width="9.140625" style="146"/>
  </cols>
  <sheetData>
    <row r="3" spans="1:7" ht="15" customHeight="1">
      <c r="A3" s="277"/>
      <c r="B3" s="4"/>
      <c r="C3" s="278"/>
      <c r="D3" s="279"/>
      <c r="E3" s="279"/>
      <c r="F3" s="277"/>
      <c r="G3" s="277"/>
    </row>
    <row r="4" spans="1:7" ht="15" customHeight="1">
      <c r="A4" s="280"/>
      <c r="B4" s="7"/>
      <c r="C4" s="281"/>
      <c r="D4" s="9">
        <f ca="1">TODAY()</f>
        <v>45307</v>
      </c>
      <c r="E4" s="282"/>
      <c r="F4" s="277"/>
      <c r="G4" s="277"/>
    </row>
    <row r="5" spans="1:7" ht="15" customHeight="1">
      <c r="A5" s="280"/>
      <c r="B5" s="7"/>
      <c r="C5" s="281"/>
      <c r="D5" s="9"/>
      <c r="E5" s="282"/>
      <c r="F5" s="277"/>
      <c r="G5" s="277"/>
    </row>
    <row r="6" spans="1:7" ht="15" customHeight="1">
      <c r="A6" s="277"/>
      <c r="B6" s="4"/>
      <c r="C6" s="278"/>
      <c r="D6" s="11" t="s">
        <v>0</v>
      </c>
      <c r="E6" s="11" t="s">
        <v>1</v>
      </c>
      <c r="F6" s="277"/>
      <c r="G6" s="277"/>
    </row>
    <row r="7" spans="1:7" ht="15" customHeight="1">
      <c r="A7" s="12" t="s">
        <v>2</v>
      </c>
      <c r="B7" s="4"/>
      <c r="C7" s="279" t="s">
        <v>3</v>
      </c>
      <c r="D7" s="283" t="s">
        <v>294</v>
      </c>
      <c r="E7" s="14">
        <f>D19</f>
        <v>50000.5</v>
      </c>
      <c r="F7" s="277"/>
      <c r="G7" s="277"/>
    </row>
    <row r="8" spans="1:7" ht="15" customHeight="1">
      <c r="A8" s="15" t="s">
        <v>5</v>
      </c>
      <c r="B8" s="339" t="s">
        <v>343</v>
      </c>
      <c r="C8" s="279" t="s">
        <v>7</v>
      </c>
      <c r="D8" s="283" t="s">
        <v>8</v>
      </c>
      <c r="E8" s="14">
        <f>+D38</f>
        <v>0</v>
      </c>
      <c r="F8" s="277"/>
      <c r="G8" s="277"/>
    </row>
    <row r="9" spans="1:7" ht="15" customHeight="1">
      <c r="A9" s="15" t="s">
        <v>9</v>
      </c>
      <c r="C9" s="279" t="s">
        <v>10</v>
      </c>
      <c r="D9" s="283" t="s">
        <v>11</v>
      </c>
      <c r="E9" s="14">
        <f>SUM(E7:E8)</f>
        <v>50000.5</v>
      </c>
      <c r="F9" s="277"/>
      <c r="G9" s="277"/>
    </row>
    <row r="10" spans="1:7" ht="15" customHeight="1">
      <c r="A10" s="18" t="s">
        <v>12</v>
      </c>
      <c r="B10" s="146" t="s">
        <v>81</v>
      </c>
      <c r="C10" s="279" t="s">
        <v>14</v>
      </c>
      <c r="D10" s="283" t="s">
        <v>15</v>
      </c>
      <c r="E10" s="14">
        <f>+E38</f>
        <v>50000.5</v>
      </c>
      <c r="F10" s="277"/>
      <c r="G10" s="277"/>
    </row>
    <row r="11" spans="1:7" ht="15" customHeight="1" thickBot="1">
      <c r="A11" s="18" t="s">
        <v>16</v>
      </c>
      <c r="B11" s="146" t="s">
        <v>344</v>
      </c>
      <c r="C11" s="279" t="s">
        <v>18</v>
      </c>
      <c r="D11" s="19" t="s">
        <v>19</v>
      </c>
      <c r="E11" s="20">
        <f>+E9-E10</f>
        <v>0</v>
      </c>
      <c r="F11" s="277"/>
      <c r="G11" s="277"/>
    </row>
    <row r="12" spans="1:7" ht="15" customHeight="1" thickTop="1">
      <c r="A12" s="15" t="s">
        <v>20</v>
      </c>
      <c r="B12" s="146" t="s">
        <v>345</v>
      </c>
      <c r="C12" s="279" t="s">
        <v>21</v>
      </c>
      <c r="D12" s="284" t="s">
        <v>22</v>
      </c>
      <c r="E12" s="285"/>
      <c r="F12" s="284"/>
      <c r="G12" s="277"/>
    </row>
    <row r="13" spans="1:7" ht="15" customHeight="1">
      <c r="A13" s="277" t="s">
        <v>23</v>
      </c>
      <c r="B13" s="146" t="s">
        <v>346</v>
      </c>
      <c r="C13" s="277" t="s">
        <v>25</v>
      </c>
      <c r="D13" s="286" t="s">
        <v>26</v>
      </c>
      <c r="E13" s="287"/>
      <c r="F13" s="277"/>
      <c r="G13" s="277"/>
    </row>
    <row r="14" spans="1:7" ht="15" customHeight="1">
      <c r="A14" s="277" t="s">
        <v>67</v>
      </c>
      <c r="B14" s="146" t="s">
        <v>347</v>
      </c>
      <c r="C14" s="277"/>
      <c r="D14" s="288" t="s">
        <v>8</v>
      </c>
      <c r="E14" s="289"/>
      <c r="F14" s="287"/>
      <c r="G14" s="277"/>
    </row>
    <row r="15" spans="1:7" ht="15" customHeight="1">
      <c r="A15" s="4"/>
      <c r="B15" s="4"/>
      <c r="C15" s="278"/>
      <c r="D15" s="279"/>
      <c r="E15" s="279"/>
      <c r="F15" s="277"/>
      <c r="G15" s="33"/>
    </row>
    <row r="16" spans="1:7" ht="15" customHeight="1" thickBot="1">
      <c r="A16" s="7"/>
      <c r="B16" s="339" t="s">
        <v>357</v>
      </c>
      <c r="C16" s="33"/>
      <c r="D16" s="33"/>
      <c r="E16" s="33"/>
      <c r="F16" s="33"/>
      <c r="G16" s="33"/>
    </row>
    <row r="17" spans="1:7" ht="15" customHeight="1">
      <c r="A17" s="434" t="s">
        <v>30</v>
      </c>
      <c r="B17" s="434" t="s">
        <v>69</v>
      </c>
      <c r="C17" s="434" t="s">
        <v>31</v>
      </c>
      <c r="D17" s="436" t="s">
        <v>32</v>
      </c>
      <c r="E17" s="436" t="s">
        <v>33</v>
      </c>
      <c r="F17" s="430" t="s">
        <v>34</v>
      </c>
      <c r="G17" s="290"/>
    </row>
    <row r="18" spans="1:7" ht="15" customHeight="1" thickBot="1">
      <c r="A18" s="435"/>
      <c r="B18" s="435"/>
      <c r="C18" s="435"/>
      <c r="D18" s="437"/>
      <c r="E18" s="437"/>
      <c r="F18" s="431"/>
      <c r="G18" s="291"/>
    </row>
    <row r="19" spans="1:7" ht="15" customHeight="1">
      <c r="A19" s="145">
        <v>43867</v>
      </c>
      <c r="B19" s="292" t="s">
        <v>348</v>
      </c>
      <c r="C19" s="293"/>
      <c r="D19" s="294">
        <v>50000.5</v>
      </c>
      <c r="F19" s="295">
        <f>D19-E19</f>
        <v>50000.5</v>
      </c>
      <c r="G19" s="277"/>
    </row>
    <row r="20" spans="1:7" ht="15" customHeight="1">
      <c r="A20" s="173"/>
      <c r="B20" s="292" t="s">
        <v>349</v>
      </c>
      <c r="C20" s="296">
        <v>25000</v>
      </c>
      <c r="D20" s="297"/>
      <c r="E20" s="298"/>
      <c r="F20" s="299">
        <f t="shared" ref="F20:F37" si="0">F19+D20-E20</f>
        <v>50000.5</v>
      </c>
      <c r="G20" s="277"/>
    </row>
    <row r="21" spans="1:7" ht="15" customHeight="1">
      <c r="A21" s="148">
        <v>43858</v>
      </c>
      <c r="B21" s="342" t="s">
        <v>350</v>
      </c>
      <c r="C21" s="336"/>
      <c r="D21" s="337"/>
      <c r="E21" s="343">
        <v>25000</v>
      </c>
      <c r="F21" s="299">
        <f t="shared" si="0"/>
        <v>25000.5</v>
      </c>
      <c r="G21" s="277"/>
    </row>
    <row r="22" spans="1:7" ht="15" customHeight="1">
      <c r="A22" s="145">
        <v>43896</v>
      </c>
      <c r="B22" s="370" t="s">
        <v>351</v>
      </c>
      <c r="C22" s="336">
        <v>4167</v>
      </c>
      <c r="D22" s="337"/>
      <c r="E22" s="343"/>
      <c r="F22" s="299">
        <f t="shared" si="0"/>
        <v>25000.5</v>
      </c>
      <c r="G22" s="277"/>
    </row>
    <row r="23" spans="1:7" ht="15" customHeight="1">
      <c r="A23" s="148">
        <v>43900</v>
      </c>
      <c r="B23" s="342" t="s">
        <v>358</v>
      </c>
      <c r="C23" s="371">
        <f>C22-E23</f>
        <v>0</v>
      </c>
      <c r="D23" s="372"/>
      <c r="E23" s="373">
        <v>4167</v>
      </c>
      <c r="F23" s="299">
        <f t="shared" si="0"/>
        <v>20833.5</v>
      </c>
      <c r="G23" s="277"/>
    </row>
    <row r="24" spans="1:7" s="345" customFormat="1" ht="15" customHeight="1">
      <c r="A24" s="145">
        <v>43927</v>
      </c>
      <c r="B24" s="369" t="s">
        <v>352</v>
      </c>
      <c r="C24" s="336">
        <v>4167</v>
      </c>
      <c r="D24" s="337"/>
      <c r="E24" s="338"/>
      <c r="F24" s="299">
        <f t="shared" si="0"/>
        <v>20833.5</v>
      </c>
      <c r="G24" s="279"/>
    </row>
    <row r="25" spans="1:7" s="345" customFormat="1" ht="15" customHeight="1">
      <c r="A25" s="148">
        <v>43929</v>
      </c>
      <c r="B25" s="342" t="s">
        <v>359</v>
      </c>
      <c r="C25" s="371"/>
      <c r="D25" s="372"/>
      <c r="E25" s="373">
        <v>4167</v>
      </c>
      <c r="F25" s="299">
        <f t="shared" si="0"/>
        <v>16666.5</v>
      </c>
      <c r="G25" s="279"/>
    </row>
    <row r="26" spans="1:7" s="345" customFormat="1" ht="15" customHeight="1">
      <c r="A26" s="145">
        <v>43957</v>
      </c>
      <c r="B26" s="369" t="s">
        <v>353</v>
      </c>
      <c r="C26" s="336">
        <v>4167</v>
      </c>
      <c r="D26" s="337"/>
      <c r="E26" s="343"/>
      <c r="F26" s="299">
        <f t="shared" si="0"/>
        <v>16666.5</v>
      </c>
      <c r="G26" s="279"/>
    </row>
    <row r="27" spans="1:7" s="345" customFormat="1" ht="15" customHeight="1">
      <c r="A27" s="148">
        <v>43963</v>
      </c>
      <c r="B27" s="342" t="s">
        <v>360</v>
      </c>
      <c r="C27" s="371">
        <f>C26-E27</f>
        <v>0</v>
      </c>
      <c r="D27" s="372"/>
      <c r="E27" s="373">
        <v>4167</v>
      </c>
      <c r="F27" s="299">
        <f t="shared" si="0"/>
        <v>12499.5</v>
      </c>
      <c r="G27" s="279"/>
    </row>
    <row r="28" spans="1:7" ht="15" customHeight="1">
      <c r="A28" s="145">
        <v>43988</v>
      </c>
      <c r="B28" s="369" t="s">
        <v>354</v>
      </c>
      <c r="C28" s="336">
        <v>4167</v>
      </c>
      <c r="D28" s="337"/>
      <c r="E28" s="338"/>
      <c r="F28" s="299">
        <f t="shared" si="0"/>
        <v>12499.5</v>
      </c>
      <c r="G28" s="277"/>
    </row>
    <row r="29" spans="1:7" ht="15" customHeight="1">
      <c r="A29" s="148">
        <v>43991</v>
      </c>
      <c r="B29" s="342" t="s">
        <v>361</v>
      </c>
      <c r="C29" s="371"/>
      <c r="D29" s="372"/>
      <c r="E29" s="373">
        <v>4167</v>
      </c>
      <c r="F29" s="299">
        <f t="shared" si="0"/>
        <v>8332.5</v>
      </c>
      <c r="G29" s="277"/>
    </row>
    <row r="30" spans="1:7" ht="15" customHeight="1">
      <c r="A30" s="145">
        <v>44018</v>
      </c>
      <c r="B30" s="369" t="s">
        <v>355</v>
      </c>
      <c r="C30" s="336">
        <v>4167</v>
      </c>
      <c r="D30" s="361"/>
      <c r="E30" s="338"/>
      <c r="F30" s="299">
        <f t="shared" si="0"/>
        <v>8332.5</v>
      </c>
      <c r="G30" s="277"/>
    </row>
    <row r="31" spans="1:7" ht="15" customHeight="1">
      <c r="A31" s="148">
        <v>44029</v>
      </c>
      <c r="B31" s="342" t="s">
        <v>362</v>
      </c>
      <c r="C31" s="371">
        <f>C30-E31</f>
        <v>0</v>
      </c>
      <c r="D31" s="376"/>
      <c r="E31" s="373">
        <v>4167</v>
      </c>
      <c r="F31" s="299">
        <f t="shared" si="0"/>
        <v>4165.5</v>
      </c>
      <c r="G31" s="277"/>
    </row>
    <row r="32" spans="1:7" ht="15" customHeight="1">
      <c r="A32" s="145">
        <v>44049</v>
      </c>
      <c r="B32" s="370" t="s">
        <v>356</v>
      </c>
      <c r="C32" s="336">
        <v>4165.5</v>
      </c>
      <c r="D32" s="361"/>
      <c r="E32" s="343"/>
      <c r="F32" s="299">
        <f t="shared" si="0"/>
        <v>4165.5</v>
      </c>
      <c r="G32" s="277"/>
    </row>
    <row r="33" spans="1:7" ht="15" customHeight="1">
      <c r="A33" s="362">
        <v>44060</v>
      </c>
      <c r="B33" s="342" t="s">
        <v>363</v>
      </c>
      <c r="C33" s="336"/>
      <c r="D33" s="361"/>
      <c r="E33" s="343">
        <v>4165.5</v>
      </c>
      <c r="F33" s="299">
        <f t="shared" si="0"/>
        <v>0</v>
      </c>
      <c r="G33" s="277"/>
    </row>
    <row r="34" spans="1:7" ht="15" customHeight="1">
      <c r="A34" s="145"/>
      <c r="B34" s="335"/>
      <c r="C34" s="336"/>
      <c r="D34" s="337"/>
      <c r="E34" s="338"/>
      <c r="F34" s="297">
        <f t="shared" si="0"/>
        <v>0</v>
      </c>
      <c r="G34" s="277"/>
    </row>
    <row r="35" spans="1:7" ht="15" customHeight="1">
      <c r="A35" s="145"/>
      <c r="B35" s="335"/>
      <c r="C35" s="336"/>
      <c r="D35" s="337"/>
      <c r="E35" s="338"/>
      <c r="F35" s="297">
        <f t="shared" si="0"/>
        <v>0</v>
      </c>
      <c r="G35" s="277"/>
    </row>
    <row r="36" spans="1:7" ht="15" customHeight="1">
      <c r="A36" s="145"/>
      <c r="B36" s="292"/>
      <c r="C36" s="296"/>
      <c r="D36" s="151"/>
      <c r="E36" s="303"/>
      <c r="F36" s="297">
        <f t="shared" si="0"/>
        <v>0</v>
      </c>
      <c r="G36" s="277"/>
    </row>
    <row r="37" spans="1:7" ht="15" customHeight="1" thickBot="1">
      <c r="A37" s="69"/>
      <c r="B37" s="306"/>
      <c r="C37" s="307"/>
      <c r="D37" s="297"/>
      <c r="E37" s="308"/>
      <c r="F37" s="297">
        <f t="shared" si="0"/>
        <v>0</v>
      </c>
      <c r="G37" s="277"/>
    </row>
    <row r="38" spans="1:7" ht="15" customHeight="1" thickBot="1">
      <c r="A38" s="432" t="s">
        <v>61</v>
      </c>
      <c r="B38" s="433"/>
      <c r="C38" s="89">
        <f>SUM(C20:C37)</f>
        <v>50000.5</v>
      </c>
      <c r="D38" s="166">
        <f>SUM(D20:D37)</f>
        <v>0</v>
      </c>
      <c r="E38" s="90">
        <f>SUM(E20:E37)</f>
        <v>50000.5</v>
      </c>
      <c r="F38" s="90">
        <f>+F37</f>
        <v>0</v>
      </c>
      <c r="G38" s="277"/>
    </row>
    <row r="39" spans="1:7" ht="15" customHeight="1">
      <c r="A39" s="167"/>
      <c r="B39" s="167"/>
      <c r="C39" s="309"/>
      <c r="D39" s="310"/>
      <c r="E39" s="310"/>
      <c r="F39" s="277"/>
      <c r="G39" s="277"/>
    </row>
    <row r="40" spans="1:7" ht="15" customHeight="1">
      <c r="A40" s="4"/>
      <c r="B40" s="4"/>
      <c r="C40" s="278"/>
      <c r="D40" s="311"/>
      <c r="E40" s="279"/>
      <c r="F40" s="277"/>
      <c r="G40" s="277"/>
    </row>
    <row r="41" spans="1:7" ht="15" customHeight="1">
      <c r="A41" s="4"/>
      <c r="B41" s="4"/>
      <c r="C41" s="278"/>
      <c r="D41" s="311">
        <f>C36*5%</f>
        <v>0</v>
      </c>
      <c r="E41" s="279"/>
      <c r="F41" s="277"/>
      <c r="G41" s="277"/>
    </row>
    <row r="42" spans="1:7" ht="15" customHeight="1">
      <c r="A42" s="170"/>
      <c r="B42" s="4"/>
      <c r="C42" s="278"/>
      <c r="D42" s="279"/>
      <c r="E42" s="279"/>
      <c r="F42" s="277"/>
      <c r="G42" s="277"/>
    </row>
    <row r="43" spans="1:7" ht="15" customHeight="1">
      <c r="A43" s="172"/>
      <c r="B43" s="4"/>
      <c r="C43" s="312"/>
      <c r="D43" s="311"/>
      <c r="E43" s="311"/>
      <c r="F43" s="277"/>
      <c r="G43" s="277"/>
    </row>
    <row r="44" spans="1:7" ht="15" customHeight="1">
      <c r="A44" s="4"/>
      <c r="B44" s="4"/>
      <c r="C44" s="278"/>
      <c r="D44" s="279"/>
      <c r="E44" s="311"/>
      <c r="F44" s="277"/>
      <c r="G44" s="277"/>
    </row>
    <row r="45" spans="1:7" ht="15" customHeight="1">
      <c r="A45" s="4"/>
      <c r="B45" s="4"/>
      <c r="C45" s="278"/>
      <c r="D45" s="279"/>
      <c r="E45" s="311"/>
      <c r="F45" s="277"/>
      <c r="G45" s="277"/>
    </row>
    <row r="46" spans="1:7" ht="15" customHeight="1">
      <c r="A46" s="4"/>
      <c r="B46" s="4"/>
      <c r="C46" s="278"/>
      <c r="D46" s="279"/>
      <c r="E46" s="279"/>
      <c r="F46" s="277"/>
      <c r="G46" s="277"/>
    </row>
    <row r="47" spans="1:7" ht="15" customHeight="1">
      <c r="A47" s="4"/>
      <c r="B47" s="4"/>
      <c r="C47" s="278"/>
      <c r="D47" s="279"/>
      <c r="E47" s="279"/>
      <c r="F47" s="277"/>
      <c r="G47" s="277"/>
    </row>
    <row r="48" spans="1:7" ht="15" customHeight="1">
      <c r="A48" s="4"/>
      <c r="B48" s="4"/>
      <c r="C48" s="278"/>
      <c r="D48" s="279"/>
      <c r="E48" s="279"/>
      <c r="F48" s="277"/>
      <c r="G48" s="277"/>
    </row>
    <row r="49" spans="1:7" ht="15" customHeight="1">
      <c r="A49" s="4"/>
      <c r="B49" s="4"/>
      <c r="C49" s="278"/>
      <c r="D49" s="279"/>
      <c r="E49" s="279"/>
      <c r="F49" s="277"/>
      <c r="G49" s="277"/>
    </row>
    <row r="50" spans="1:7" ht="15" customHeight="1">
      <c r="A50" s="4"/>
      <c r="B50" s="4"/>
      <c r="C50" s="278"/>
      <c r="D50" s="279"/>
      <c r="E50" s="279"/>
      <c r="F50" s="277"/>
      <c r="G50" s="277"/>
    </row>
    <row r="51" spans="1:7" ht="15" customHeight="1">
      <c r="A51" s="4"/>
      <c r="B51" s="4"/>
      <c r="C51" s="278"/>
      <c r="D51" s="279"/>
      <c r="E51" s="279"/>
      <c r="F51" s="277"/>
      <c r="G51" s="277"/>
    </row>
    <row r="52" spans="1:7" ht="15" customHeight="1">
      <c r="A52" s="4"/>
      <c r="B52" s="4"/>
      <c r="C52" s="278"/>
      <c r="D52" s="279"/>
      <c r="E52" s="279"/>
      <c r="F52" s="277"/>
      <c r="G52" s="277"/>
    </row>
    <row r="53" spans="1:7" ht="15" customHeight="1">
      <c r="A53" s="4"/>
      <c r="B53" s="4"/>
      <c r="C53" s="278"/>
      <c r="D53" s="279"/>
      <c r="E53" s="279"/>
      <c r="F53" s="277"/>
      <c r="G53" s="277"/>
    </row>
    <row r="54" spans="1:7" ht="15" customHeight="1">
      <c r="A54" s="4"/>
      <c r="B54" s="4"/>
      <c r="C54" s="278"/>
      <c r="D54" s="279"/>
      <c r="E54" s="279"/>
      <c r="F54" s="277"/>
      <c r="G54" s="277"/>
    </row>
    <row r="55" spans="1:7" ht="15" customHeight="1">
      <c r="A55" s="4"/>
      <c r="B55" s="4"/>
      <c r="C55" s="278"/>
      <c r="D55" s="279"/>
      <c r="E55" s="279"/>
      <c r="F55" s="277"/>
      <c r="G55" s="277"/>
    </row>
    <row r="56" spans="1:7" ht="15" customHeight="1">
      <c r="A56" s="4"/>
      <c r="B56" s="4"/>
      <c r="C56" s="278"/>
      <c r="D56" s="279"/>
      <c r="E56" s="279"/>
      <c r="F56" s="277"/>
      <c r="G56" s="277"/>
    </row>
    <row r="57" spans="1:7" ht="15" customHeight="1">
      <c r="A57" s="4"/>
      <c r="B57" s="4"/>
      <c r="C57" s="278"/>
      <c r="D57" s="279"/>
      <c r="E57" s="279"/>
      <c r="F57" s="277"/>
      <c r="G57" s="277"/>
    </row>
    <row r="58" spans="1:7" ht="15" customHeight="1">
      <c r="A58" s="4"/>
      <c r="B58" s="4"/>
      <c r="C58" s="278"/>
      <c r="D58" s="279"/>
      <c r="E58" s="279"/>
      <c r="F58" s="277"/>
      <c r="G58" s="277"/>
    </row>
    <row r="59" spans="1:7" ht="15" customHeight="1">
      <c r="A59" s="4"/>
      <c r="B59" s="4"/>
      <c r="C59" s="278"/>
      <c r="D59" s="279"/>
      <c r="E59" s="279"/>
      <c r="F59" s="277"/>
      <c r="G59" s="277"/>
    </row>
    <row r="60" spans="1:7" ht="15" customHeight="1">
      <c r="A60" s="4"/>
      <c r="B60" s="4"/>
      <c r="C60" s="278"/>
      <c r="D60" s="279"/>
      <c r="E60" s="279"/>
      <c r="F60" s="277"/>
      <c r="G60" s="277"/>
    </row>
    <row r="61" spans="1:7" ht="15" customHeight="1">
      <c r="A61" s="4"/>
      <c r="B61" s="4"/>
      <c r="C61" s="278"/>
      <c r="D61" s="279"/>
      <c r="E61" s="279"/>
      <c r="F61" s="277"/>
      <c r="G61" s="277"/>
    </row>
    <row r="62" spans="1:7" ht="15" customHeight="1">
      <c r="A62" s="4"/>
      <c r="B62" s="4"/>
      <c r="C62" s="278"/>
      <c r="D62" s="279"/>
      <c r="E62" s="279"/>
      <c r="F62" s="277"/>
      <c r="G62" s="277"/>
    </row>
    <row r="63" spans="1:7" ht="15" customHeight="1">
      <c r="A63" s="4"/>
      <c r="B63" s="4"/>
      <c r="C63" s="278"/>
      <c r="D63" s="279"/>
      <c r="E63" s="279"/>
      <c r="F63" s="277"/>
      <c r="G63" s="277"/>
    </row>
    <row r="64" spans="1:7" ht="15" customHeight="1">
      <c r="A64" s="4"/>
      <c r="B64" s="4"/>
      <c r="C64" s="278"/>
      <c r="D64" s="279"/>
      <c r="E64" s="279"/>
      <c r="F64" s="277"/>
      <c r="G64" s="277"/>
    </row>
    <row r="65" spans="1:7" ht="15" customHeight="1">
      <c r="A65" s="4"/>
      <c r="B65" s="4"/>
      <c r="C65" s="278"/>
      <c r="D65" s="279"/>
      <c r="E65" s="279"/>
      <c r="F65" s="277"/>
      <c r="G65" s="277"/>
    </row>
    <row r="66" spans="1:7" ht="15" customHeight="1">
      <c r="A66" s="94"/>
      <c r="B66" s="94"/>
      <c r="C66" s="313"/>
      <c r="D66" s="283"/>
      <c r="E66" s="283"/>
      <c r="F66" s="290"/>
      <c r="G66" s="290"/>
    </row>
    <row r="67" spans="1:7" ht="15" customHeight="1">
      <c r="A67" s="314"/>
      <c r="B67" s="314"/>
      <c r="C67" s="314"/>
      <c r="D67" s="115"/>
      <c r="E67" s="314"/>
      <c r="F67" s="314"/>
      <c r="G67" s="314"/>
    </row>
    <row r="68" spans="1:7" ht="15" customHeight="1">
      <c r="A68" s="315"/>
      <c r="B68" s="314"/>
      <c r="C68" s="314"/>
      <c r="D68" s="115"/>
      <c r="E68" s="314"/>
      <c r="F68" s="314"/>
      <c r="G68" s="314"/>
    </row>
    <row r="69" spans="1:7" ht="15" customHeight="1">
      <c r="A69" s="315"/>
      <c r="B69" s="314"/>
      <c r="C69" s="314"/>
      <c r="D69" s="115"/>
      <c r="E69" s="314"/>
      <c r="F69" s="314"/>
      <c r="G69" s="314"/>
    </row>
    <row r="70" spans="1:7" ht="15" customHeight="1">
      <c r="A70" s="316"/>
      <c r="B70" s="314"/>
      <c r="C70" s="314"/>
      <c r="D70" s="314"/>
      <c r="E70" s="314"/>
      <c r="F70" s="314"/>
      <c r="G70" s="314"/>
    </row>
    <row r="71" spans="1:7" ht="15" customHeight="1">
      <c r="A71" s="367"/>
      <c r="B71" s="367"/>
      <c r="C71" s="367"/>
      <c r="D71" s="367"/>
      <c r="E71" s="367"/>
      <c r="F71" s="367"/>
      <c r="G71" s="101"/>
    </row>
    <row r="72" spans="1:7" ht="15" customHeight="1">
      <c r="A72" s="115"/>
      <c r="B72" s="316"/>
      <c r="C72" s="317"/>
      <c r="D72" s="283"/>
      <c r="E72" s="115"/>
      <c r="F72" s="318"/>
      <c r="G72" s="319"/>
    </row>
    <row r="73" spans="1:7" ht="15" customHeight="1">
      <c r="A73" s="115"/>
      <c r="B73" s="316"/>
      <c r="C73" s="317"/>
      <c r="D73" s="283"/>
      <c r="E73" s="115"/>
      <c r="F73" s="319"/>
      <c r="G73" s="319"/>
    </row>
    <row r="74" spans="1:7" ht="15" customHeight="1">
      <c r="A74" s="115"/>
      <c r="B74" s="283"/>
      <c r="C74" s="283"/>
      <c r="D74" s="283"/>
      <c r="E74" s="115"/>
      <c r="F74" s="319"/>
      <c r="G74" s="319"/>
    </row>
    <row r="75" spans="1:7" ht="15" customHeight="1">
      <c r="A75" s="115"/>
      <c r="B75" s="283"/>
      <c r="C75" s="320"/>
      <c r="D75" s="283"/>
      <c r="E75" s="115"/>
      <c r="F75" s="319"/>
      <c r="G75" s="319"/>
    </row>
    <row r="76" spans="1:7" ht="15" customHeight="1">
      <c r="A76" s="115"/>
      <c r="B76" s="283"/>
      <c r="C76" s="320"/>
      <c r="D76" s="283"/>
      <c r="E76" s="115"/>
      <c r="F76" s="319"/>
      <c r="G76" s="321"/>
    </row>
    <row r="77" spans="1:7" ht="15" customHeight="1">
      <c r="A77" s="115"/>
      <c r="B77" s="283"/>
      <c r="C77" s="320"/>
      <c r="D77" s="283"/>
      <c r="E77" s="115"/>
      <c r="F77" s="319"/>
      <c r="G77" s="319"/>
    </row>
    <row r="78" spans="1:7" ht="15" customHeight="1">
      <c r="A78" s="115"/>
      <c r="B78" s="115"/>
      <c r="C78" s="115"/>
      <c r="D78" s="283"/>
      <c r="E78" s="115"/>
      <c r="F78" s="319"/>
      <c r="G78" s="319"/>
    </row>
    <row r="79" spans="1:7" ht="15" customHeight="1">
      <c r="A79" s="115"/>
      <c r="B79" s="322"/>
      <c r="C79" s="322"/>
      <c r="D79" s="115"/>
      <c r="E79" s="115"/>
      <c r="F79" s="319"/>
      <c r="G79" s="319"/>
    </row>
    <row r="80" spans="1:7" ht="15" customHeight="1">
      <c r="A80" s="115"/>
      <c r="B80" s="322"/>
      <c r="C80" s="322"/>
      <c r="D80" s="322"/>
      <c r="E80" s="322"/>
      <c r="F80" s="322"/>
      <c r="G80" s="319"/>
    </row>
    <row r="81" spans="1:7" ht="15" customHeight="1">
      <c r="A81" s="416"/>
      <c r="B81" s="416"/>
      <c r="C81" s="416"/>
      <c r="D81" s="416"/>
      <c r="E81" s="416"/>
      <c r="F81" s="416"/>
      <c r="G81" s="111"/>
    </row>
    <row r="82" spans="1:7" ht="15" customHeight="1">
      <c r="A82" s="115"/>
      <c r="B82" s="417"/>
      <c r="C82" s="417"/>
      <c r="D82" s="417"/>
      <c r="E82" s="113"/>
      <c r="F82" s="115"/>
      <c r="G82" s="115"/>
    </row>
    <row r="83" spans="1:7" ht="15" customHeight="1">
      <c r="A83" s="115"/>
      <c r="B83" s="368"/>
      <c r="C83" s="368"/>
      <c r="D83" s="368"/>
      <c r="E83" s="113"/>
      <c r="F83" s="115"/>
      <c r="G83" s="115"/>
    </row>
    <row r="84" spans="1:7" ht="15" customHeight="1">
      <c r="A84" s="115"/>
      <c r="B84" s="115"/>
      <c r="C84" s="368"/>
      <c r="D84" s="368"/>
      <c r="E84" s="113"/>
      <c r="F84" s="321"/>
      <c r="G84" s="115"/>
    </row>
    <row r="85" spans="1:7" ht="15" customHeight="1">
      <c r="A85" s="115"/>
      <c r="B85" s="115"/>
      <c r="C85" s="368"/>
      <c r="D85" s="368"/>
      <c r="E85" s="113"/>
      <c r="F85" s="321"/>
      <c r="G85" s="319"/>
    </row>
  </sheetData>
  <mergeCells count="9">
    <mergeCell ref="A38:B38"/>
    <mergeCell ref="A81:F81"/>
    <mergeCell ref="B82:D82"/>
    <mergeCell ref="A17:A18"/>
    <mergeCell ref="B17:B18"/>
    <mergeCell ref="C17:C18"/>
    <mergeCell ref="D17:D18"/>
    <mergeCell ref="E17:E18"/>
    <mergeCell ref="F17:F18"/>
  </mergeCells>
  <pageMargins left="0.7" right="0.7" top="0.75" bottom="0.75" header="0.3" footer="0.3"/>
  <pageSetup paperSize="9" scale="65" orientation="landscape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9"/>
  <sheetViews>
    <sheetView topLeftCell="A105" zoomScale="130" zoomScaleNormal="130" workbookViewId="0">
      <selection activeCell="E62" sqref="E62"/>
    </sheetView>
  </sheetViews>
  <sheetFormatPr defaultRowHeight="15" customHeight="1"/>
  <cols>
    <col min="1" max="1" width="15" style="4" customWidth="1"/>
    <col min="2" max="2" width="62.5703125" style="4" customWidth="1"/>
    <col min="3" max="3" width="20.28515625" style="5" customWidth="1"/>
    <col min="4" max="4" width="17.140625" style="2" customWidth="1"/>
    <col min="5" max="5" width="14.7109375" style="2" customWidth="1"/>
    <col min="6" max="6" width="16.28515625" style="3" customWidth="1"/>
    <col min="7" max="7" width="20.140625" style="3" customWidth="1"/>
    <col min="8" max="8" width="13.28515625" style="3" bestFit="1" customWidth="1"/>
    <col min="9" max="16384" width="9.140625" style="3"/>
  </cols>
  <sheetData>
    <row r="1" spans="1:6" ht="15" customHeight="1">
      <c r="A1" s="146"/>
      <c r="B1" s="146"/>
      <c r="C1" s="146"/>
      <c r="D1" s="146"/>
      <c r="E1" s="146"/>
      <c r="F1" s="146"/>
    </row>
    <row r="2" spans="1:6" ht="15" customHeight="1">
      <c r="A2" s="146"/>
      <c r="B2" s="146"/>
      <c r="C2" s="146"/>
      <c r="D2" s="146"/>
      <c r="E2" s="146"/>
      <c r="F2" s="146"/>
    </row>
    <row r="3" spans="1:6" ht="15" customHeight="1">
      <c r="A3" s="277"/>
      <c r="C3" s="278"/>
      <c r="D3" s="279"/>
      <c r="E3" s="279"/>
      <c r="F3" s="277"/>
    </row>
    <row r="4" spans="1:6" ht="15" customHeight="1">
      <c r="A4" s="280"/>
      <c r="B4" s="7"/>
      <c r="C4" s="281"/>
      <c r="D4" s="9">
        <f ca="1">TODAY()</f>
        <v>45307</v>
      </c>
      <c r="E4" s="282"/>
      <c r="F4" s="277"/>
    </row>
    <row r="5" spans="1:6" ht="15" customHeight="1">
      <c r="A5" s="280"/>
      <c r="B5" s="7"/>
      <c r="C5" s="281"/>
      <c r="D5" s="9"/>
      <c r="E5" s="282"/>
      <c r="F5" s="277"/>
    </row>
    <row r="6" spans="1:6" ht="15" customHeight="1">
      <c r="A6" s="277"/>
      <c r="C6" s="278"/>
      <c r="D6" s="11" t="s">
        <v>0</v>
      </c>
      <c r="E6" s="11" t="s">
        <v>1</v>
      </c>
      <c r="F6" s="277"/>
    </row>
    <row r="7" spans="1:6" ht="15" customHeight="1">
      <c r="A7" s="12" t="s">
        <v>2</v>
      </c>
      <c r="C7" s="279" t="s">
        <v>3</v>
      </c>
      <c r="D7" s="283" t="s">
        <v>294</v>
      </c>
      <c r="E7" s="14">
        <f>D19</f>
        <v>37190</v>
      </c>
      <c r="F7" s="277"/>
    </row>
    <row r="8" spans="1:6" ht="15" customHeight="1">
      <c r="A8" s="15" t="s">
        <v>5</v>
      </c>
      <c r="B8" s="121" t="s">
        <v>79</v>
      </c>
      <c r="C8" s="279" t="s">
        <v>7</v>
      </c>
      <c r="D8" s="283" t="s">
        <v>8</v>
      </c>
      <c r="E8" s="14">
        <f>+D32</f>
        <v>0</v>
      </c>
      <c r="F8" s="277"/>
    </row>
    <row r="9" spans="1:6" ht="15" customHeight="1">
      <c r="A9" s="15" t="s">
        <v>9</v>
      </c>
      <c r="B9" s="17" t="s">
        <v>80</v>
      </c>
      <c r="C9" s="279" t="s">
        <v>10</v>
      </c>
      <c r="D9" s="283" t="s">
        <v>11</v>
      </c>
      <c r="E9" s="14">
        <f>SUM(E7:E8)</f>
        <v>37190</v>
      </c>
      <c r="F9" s="277"/>
    </row>
    <row r="10" spans="1:6" ht="15" customHeight="1">
      <c r="A10" s="18" t="s">
        <v>12</v>
      </c>
      <c r="B10" s="26" t="s">
        <v>81</v>
      </c>
      <c r="C10" s="279" t="s">
        <v>14</v>
      </c>
      <c r="D10" s="283" t="s">
        <v>15</v>
      </c>
      <c r="E10" s="14">
        <f>+E32</f>
        <v>0</v>
      </c>
      <c r="F10" s="277"/>
    </row>
    <row r="11" spans="1:6" ht="15" customHeight="1" thickBot="1">
      <c r="A11" s="18" t="s">
        <v>16</v>
      </c>
      <c r="B11" s="122" t="s">
        <v>333</v>
      </c>
      <c r="C11" s="279" t="s">
        <v>18</v>
      </c>
      <c r="D11" s="19" t="s">
        <v>19</v>
      </c>
      <c r="E11" s="20">
        <f>+E9-E10</f>
        <v>37190</v>
      </c>
      <c r="F11" s="277"/>
    </row>
    <row r="12" spans="1:6" ht="15" customHeight="1" thickTop="1">
      <c r="A12" s="15" t="s">
        <v>20</v>
      </c>
      <c r="B12" s="17"/>
      <c r="C12" s="279" t="s">
        <v>21</v>
      </c>
      <c r="D12" s="284" t="s">
        <v>22</v>
      </c>
      <c r="E12" s="285">
        <f>SUM(C20:C22)</f>
        <v>13500</v>
      </c>
      <c r="F12" s="284"/>
    </row>
    <row r="13" spans="1:6" ht="15" customHeight="1">
      <c r="A13" s="277" t="s">
        <v>23</v>
      </c>
      <c r="B13" s="17" t="s">
        <v>82</v>
      </c>
      <c r="C13" s="277" t="s">
        <v>25</v>
      </c>
      <c r="D13" s="286" t="s">
        <v>26</v>
      </c>
      <c r="E13" s="287">
        <f>SUM(C23:C27)</f>
        <v>23690</v>
      </c>
      <c r="F13" s="277"/>
    </row>
    <row r="14" spans="1:6" ht="15" customHeight="1">
      <c r="A14" s="277" t="s">
        <v>67</v>
      </c>
      <c r="B14" s="17" t="s">
        <v>83</v>
      </c>
      <c r="C14" s="277"/>
      <c r="D14" s="288" t="s">
        <v>8</v>
      </c>
      <c r="E14" s="289"/>
      <c r="F14" s="287"/>
    </row>
    <row r="15" spans="1:6" ht="15" customHeight="1">
      <c r="C15" s="278"/>
      <c r="D15" s="279"/>
      <c r="E15" s="279"/>
      <c r="F15" s="277"/>
    </row>
    <row r="16" spans="1:6" ht="15" customHeight="1" thickBot="1">
      <c r="A16" s="7"/>
      <c r="B16" s="339" t="s">
        <v>84</v>
      </c>
      <c r="C16" s="33"/>
      <c r="D16" s="33"/>
      <c r="E16" s="33"/>
      <c r="F16" s="33"/>
    </row>
    <row r="17" spans="1:6" ht="15" customHeight="1">
      <c r="A17" s="434" t="s">
        <v>30</v>
      </c>
      <c r="B17" s="434" t="s">
        <v>69</v>
      </c>
      <c r="C17" s="434" t="s">
        <v>31</v>
      </c>
      <c r="D17" s="436" t="s">
        <v>32</v>
      </c>
      <c r="E17" s="436" t="s">
        <v>33</v>
      </c>
      <c r="F17" s="430" t="s">
        <v>34</v>
      </c>
    </row>
    <row r="18" spans="1:6" ht="15" customHeight="1" thickBot="1">
      <c r="A18" s="435"/>
      <c r="B18" s="435"/>
      <c r="C18" s="435"/>
      <c r="D18" s="437"/>
      <c r="E18" s="437"/>
      <c r="F18" s="431"/>
    </row>
    <row r="19" spans="1:6" ht="15" customHeight="1">
      <c r="A19" s="145">
        <v>43794</v>
      </c>
      <c r="B19" s="292" t="s">
        <v>342</v>
      </c>
      <c r="C19" s="293"/>
      <c r="D19" s="294">
        <v>37190</v>
      </c>
      <c r="E19" s="146"/>
      <c r="F19" s="295">
        <f>D19-E19</f>
        <v>37190</v>
      </c>
    </row>
    <row r="20" spans="1:6" ht="15" customHeight="1">
      <c r="A20" s="364">
        <v>43860</v>
      </c>
      <c r="B20" s="365" t="s">
        <v>334</v>
      </c>
      <c r="C20" s="366">
        <v>4500</v>
      </c>
      <c r="D20" s="297"/>
      <c r="E20" s="298"/>
      <c r="F20" s="299">
        <f t="shared" ref="F20:F31" si="0">F19+D20-E20</f>
        <v>37190</v>
      </c>
    </row>
    <row r="21" spans="1:6" ht="15" customHeight="1">
      <c r="A21" s="364">
        <v>43889</v>
      </c>
      <c r="B21" s="365" t="s">
        <v>335</v>
      </c>
      <c r="C21" s="366">
        <v>4500</v>
      </c>
      <c r="D21" s="337"/>
      <c r="E21" s="338"/>
      <c r="F21" s="299">
        <f t="shared" si="0"/>
        <v>37190</v>
      </c>
    </row>
    <row r="22" spans="1:6" ht="15" customHeight="1">
      <c r="A22" s="364">
        <v>43920</v>
      </c>
      <c r="B22" s="365" t="s">
        <v>336</v>
      </c>
      <c r="C22" s="366">
        <v>4500</v>
      </c>
      <c r="D22" s="337"/>
      <c r="E22" s="338"/>
      <c r="F22" s="299">
        <f t="shared" si="0"/>
        <v>37190</v>
      </c>
    </row>
    <row r="23" spans="1:6" ht="15" customHeight="1">
      <c r="A23" s="145">
        <v>43951</v>
      </c>
      <c r="B23" s="335" t="s">
        <v>337</v>
      </c>
      <c r="C23" s="296">
        <v>4500</v>
      </c>
      <c r="D23" s="337"/>
      <c r="E23" s="338"/>
      <c r="F23" s="299">
        <f t="shared" si="0"/>
        <v>37190</v>
      </c>
    </row>
    <row r="24" spans="1:6" ht="15" customHeight="1">
      <c r="A24" s="145">
        <v>43981</v>
      </c>
      <c r="B24" s="335" t="s">
        <v>338</v>
      </c>
      <c r="C24" s="296">
        <v>4500</v>
      </c>
      <c r="D24" s="337"/>
      <c r="E24" s="338"/>
      <c r="F24" s="299">
        <f t="shared" si="0"/>
        <v>37190</v>
      </c>
    </row>
    <row r="25" spans="1:6" ht="15" customHeight="1">
      <c r="A25" s="145">
        <v>44012</v>
      </c>
      <c r="B25" s="335" t="s">
        <v>339</v>
      </c>
      <c r="C25" s="296">
        <v>4500</v>
      </c>
      <c r="D25" s="337"/>
      <c r="E25" s="338"/>
      <c r="F25" s="299">
        <f t="shared" si="0"/>
        <v>37190</v>
      </c>
    </row>
    <row r="26" spans="1:6" ht="15" customHeight="1">
      <c r="A26" s="145">
        <v>44043</v>
      </c>
      <c r="B26" s="335" t="s">
        <v>340</v>
      </c>
      <c r="C26" s="296">
        <v>4500</v>
      </c>
      <c r="D26" s="337"/>
      <c r="E26" s="338"/>
      <c r="F26" s="299">
        <f t="shared" si="0"/>
        <v>37190</v>
      </c>
    </row>
    <row r="27" spans="1:6" ht="15" customHeight="1">
      <c r="A27" s="145">
        <v>44073</v>
      </c>
      <c r="B27" s="335" t="s">
        <v>341</v>
      </c>
      <c r="C27" s="336">
        <v>5690</v>
      </c>
      <c r="D27" s="337"/>
      <c r="E27" s="338"/>
      <c r="F27" s="299">
        <f t="shared" si="0"/>
        <v>37190</v>
      </c>
    </row>
    <row r="28" spans="1:6" ht="15" customHeight="1">
      <c r="A28" s="145"/>
      <c r="B28" s="335"/>
      <c r="C28" s="336"/>
      <c r="D28" s="337"/>
      <c r="E28" s="338"/>
      <c r="F28" s="299">
        <f t="shared" si="0"/>
        <v>37190</v>
      </c>
    </row>
    <row r="29" spans="1:6" ht="15" customHeight="1">
      <c r="A29" s="174"/>
      <c r="B29" s="300"/>
      <c r="C29" s="301"/>
      <c r="D29" s="302"/>
      <c r="E29" s="301"/>
      <c r="F29" s="299">
        <f t="shared" si="0"/>
        <v>37190</v>
      </c>
    </row>
    <row r="30" spans="1:6" ht="15" customHeight="1">
      <c r="A30" s="145"/>
      <c r="B30" s="292"/>
      <c r="C30" s="296"/>
      <c r="D30" s="151"/>
      <c r="E30" s="303"/>
      <c r="F30" s="299">
        <f t="shared" si="0"/>
        <v>37190</v>
      </c>
    </row>
    <row r="31" spans="1:6" ht="15" customHeight="1" thickBot="1">
      <c r="A31" s="69"/>
      <c r="B31" s="306"/>
      <c r="C31" s="307"/>
      <c r="D31" s="297"/>
      <c r="E31" s="308"/>
      <c r="F31" s="299">
        <f t="shared" si="0"/>
        <v>37190</v>
      </c>
    </row>
    <row r="32" spans="1:6" ht="15" customHeight="1" thickBot="1">
      <c r="A32" s="432" t="s">
        <v>61</v>
      </c>
      <c r="B32" s="433"/>
      <c r="C32" s="89">
        <f>SUM(C20:C31)</f>
        <v>37190</v>
      </c>
      <c r="D32" s="166">
        <f>SUM(D20:D31)</f>
        <v>0</v>
      </c>
      <c r="E32" s="90">
        <f>SUM(E20:E31)</f>
        <v>0</v>
      </c>
      <c r="F32" s="90">
        <f>+F31</f>
        <v>37190</v>
      </c>
    </row>
    <row r="33" spans="1:8" ht="15" customHeight="1">
      <c r="A33" s="167"/>
      <c r="B33" s="167"/>
      <c r="C33" s="309"/>
      <c r="D33" s="310"/>
      <c r="E33" s="310"/>
      <c r="F33" s="277"/>
    </row>
    <row r="34" spans="1:8" ht="15" customHeight="1">
      <c r="E34" s="75">
        <f>D19-E45</f>
        <v>1842.5</v>
      </c>
    </row>
    <row r="35" spans="1:8" s="176" customFormat="1" ht="15" customHeight="1">
      <c r="A35" s="203"/>
      <c r="B35" s="203"/>
      <c r="C35" s="204"/>
    </row>
    <row r="36" spans="1:8" s="176" customFormat="1" ht="15" customHeight="1">
      <c r="B36" s="203"/>
      <c r="C36" s="204"/>
    </row>
    <row r="37" spans="1:8" s="176" customFormat="1" ht="15" customHeight="1">
      <c r="A37" s="205"/>
      <c r="B37" s="206"/>
      <c r="C37" s="207"/>
      <c r="D37" s="175">
        <f ca="1">TODAY()</f>
        <v>45307</v>
      </c>
      <c r="E37" s="208"/>
    </row>
    <row r="38" spans="1:8" s="176" customFormat="1" ht="15" customHeight="1">
      <c r="A38" s="205"/>
      <c r="B38" s="206"/>
      <c r="C38" s="207"/>
      <c r="D38" s="175"/>
      <c r="E38" s="208"/>
    </row>
    <row r="39" spans="1:8" s="176" customFormat="1" ht="15" customHeight="1">
      <c r="B39" s="203"/>
      <c r="C39" s="204"/>
      <c r="D39" s="209" t="s">
        <v>0</v>
      </c>
      <c r="E39" s="209" t="s">
        <v>1</v>
      </c>
    </row>
    <row r="40" spans="1:8" s="176" customFormat="1" ht="15" customHeight="1">
      <c r="A40" s="210" t="s">
        <v>2</v>
      </c>
      <c r="B40" s="211"/>
      <c r="C40" s="176" t="s">
        <v>3</v>
      </c>
      <c r="D40" s="212" t="s">
        <v>4</v>
      </c>
      <c r="E40" s="213">
        <f>+D52</f>
        <v>59629.5</v>
      </c>
    </row>
    <row r="41" spans="1:8" s="176" customFormat="1" ht="15" customHeight="1">
      <c r="A41" s="214" t="s">
        <v>5</v>
      </c>
      <c r="B41" s="211" t="s">
        <v>79</v>
      </c>
      <c r="C41" s="176" t="s">
        <v>7</v>
      </c>
      <c r="D41" s="212" t="s">
        <v>8</v>
      </c>
      <c r="E41" s="213">
        <f>+D119</f>
        <v>33134.449999999997</v>
      </c>
    </row>
    <row r="42" spans="1:8" s="176" customFormat="1" ht="15" customHeight="1">
      <c r="A42" s="214" t="s">
        <v>9</v>
      </c>
      <c r="B42" s="216" t="s">
        <v>80</v>
      </c>
      <c r="C42" s="176" t="s">
        <v>10</v>
      </c>
      <c r="D42" s="212" t="s">
        <v>11</v>
      </c>
      <c r="E42" s="213">
        <f>SUM(E40:E41)</f>
        <v>92763.95</v>
      </c>
    </row>
    <row r="43" spans="1:8" s="176" customFormat="1" ht="15" customHeight="1">
      <c r="A43" s="214" t="s">
        <v>12</v>
      </c>
      <c r="B43" s="216" t="s">
        <v>81</v>
      </c>
      <c r="C43" s="176" t="s">
        <v>14</v>
      </c>
      <c r="D43" s="212" t="s">
        <v>15</v>
      </c>
      <c r="E43" s="213">
        <f>+E119</f>
        <v>35439.360000000001</v>
      </c>
    </row>
    <row r="44" spans="1:8" s="176" customFormat="1" ht="15" customHeight="1" thickBot="1">
      <c r="A44" s="214" t="s">
        <v>16</v>
      </c>
      <c r="B44" s="217"/>
      <c r="C44" s="176" t="s">
        <v>18</v>
      </c>
      <c r="D44" s="218" t="s">
        <v>19</v>
      </c>
      <c r="E44" s="219">
        <f>+E42-E43</f>
        <v>57324.59</v>
      </c>
    </row>
    <row r="45" spans="1:8" s="176" customFormat="1" ht="15" customHeight="1" thickTop="1">
      <c r="A45" s="214" t="s">
        <v>20</v>
      </c>
      <c r="B45" s="216"/>
      <c r="C45" s="176" t="s">
        <v>21</v>
      </c>
      <c r="D45" s="220" t="s">
        <v>22</v>
      </c>
      <c r="E45" s="221">
        <f>SUM(C61:C112)</f>
        <v>35347.5</v>
      </c>
      <c r="F45" s="220"/>
    </row>
    <row r="46" spans="1:8" s="176" customFormat="1" ht="15" customHeight="1">
      <c r="A46" s="176" t="s">
        <v>23</v>
      </c>
      <c r="B46" s="216" t="s">
        <v>82</v>
      </c>
      <c r="C46" s="176" t="s">
        <v>25</v>
      </c>
      <c r="D46" s="223" t="s">
        <v>26</v>
      </c>
      <c r="E46" s="224">
        <f>SUM(C113)</f>
        <v>0</v>
      </c>
    </row>
    <row r="47" spans="1:8" s="176" customFormat="1" ht="15" customHeight="1">
      <c r="A47" s="176" t="s">
        <v>27</v>
      </c>
      <c r="B47" s="216" t="s">
        <v>83</v>
      </c>
      <c r="D47" s="225" t="s">
        <v>8</v>
      </c>
      <c r="E47" s="226">
        <f>D119-(E59+E63+E65+E71+E73+E79+E81+E85+E87+E91+E92+E94+E98+E102+E106+E110+E67+E75)</f>
        <v>21977.089999999997</v>
      </c>
      <c r="F47" s="227"/>
      <c r="G47" s="346"/>
    </row>
    <row r="48" spans="1:8" s="176" customFormat="1" ht="15" customHeight="1">
      <c r="A48" s="418"/>
      <c r="B48" s="418"/>
      <c r="C48" s="418"/>
      <c r="D48" s="418"/>
      <c r="E48" s="418"/>
      <c r="F48" s="418"/>
      <c r="G48" s="347"/>
      <c r="H48" s="347"/>
    </row>
    <row r="49" spans="1:8" s="176" customFormat="1" ht="15" customHeight="1" thickBot="1">
      <c r="A49" s="206"/>
      <c r="B49" s="211" t="s">
        <v>84</v>
      </c>
      <c r="C49" s="228"/>
      <c r="D49" s="229"/>
      <c r="E49" s="230"/>
    </row>
    <row r="50" spans="1:8" s="176" customFormat="1" ht="15" customHeight="1">
      <c r="A50" s="419" t="s">
        <v>30</v>
      </c>
      <c r="B50" s="421"/>
      <c r="C50" s="423" t="s">
        <v>31</v>
      </c>
      <c r="D50" s="425" t="s">
        <v>32</v>
      </c>
      <c r="E50" s="425" t="s">
        <v>33</v>
      </c>
      <c r="F50" s="427" t="s">
        <v>34</v>
      </c>
      <c r="G50" s="348"/>
    </row>
    <row r="51" spans="1:8" s="176" customFormat="1" ht="15" customHeight="1" thickBot="1">
      <c r="A51" s="420"/>
      <c r="B51" s="422"/>
      <c r="C51" s="424"/>
      <c r="D51" s="426"/>
      <c r="E51" s="426"/>
      <c r="F51" s="428"/>
      <c r="G51" s="212"/>
    </row>
    <row r="52" spans="1:8" s="176" customFormat="1" ht="15" customHeight="1">
      <c r="A52" s="231"/>
      <c r="B52" s="232" t="s">
        <v>85</v>
      </c>
      <c r="C52" s="233"/>
      <c r="D52" s="234">
        <v>59629.5</v>
      </c>
      <c r="E52" s="235"/>
      <c r="F52" s="236">
        <f>D52-E52</f>
        <v>59629.5</v>
      </c>
    </row>
    <row r="53" spans="1:8" s="176" customFormat="1" ht="15" customHeight="1">
      <c r="A53" s="231" t="s">
        <v>86</v>
      </c>
      <c r="B53" s="232" t="s">
        <v>87</v>
      </c>
      <c r="C53" s="234">
        <v>16500</v>
      </c>
      <c r="D53" s="234"/>
      <c r="E53" s="235"/>
      <c r="F53" s="238">
        <f>F52+D53-E53</f>
        <v>59629.5</v>
      </c>
      <c r="G53" s="349"/>
    </row>
    <row r="54" spans="1:8" s="176" customFormat="1" ht="15" customHeight="1">
      <c r="A54" s="239" t="s">
        <v>88</v>
      </c>
      <c r="B54" s="239" t="s">
        <v>89</v>
      </c>
      <c r="C54" s="241"/>
      <c r="D54" s="241"/>
      <c r="E54" s="242">
        <v>16500</v>
      </c>
      <c r="F54" s="238">
        <f t="shared" ref="F54:F117" si="1">F53+D54-E54</f>
        <v>43129.5</v>
      </c>
      <c r="G54" s="349"/>
    </row>
    <row r="55" spans="1:8" s="176" customFormat="1" ht="15" customHeight="1">
      <c r="A55" s="231" t="s">
        <v>90</v>
      </c>
      <c r="B55" s="232" t="s">
        <v>91</v>
      </c>
      <c r="C55" s="234">
        <v>3921</v>
      </c>
      <c r="D55" s="350"/>
      <c r="E55" s="242"/>
      <c r="F55" s="238">
        <f t="shared" si="1"/>
        <v>43129.5</v>
      </c>
      <c r="G55" s="349"/>
      <c r="H55" s="349"/>
    </row>
    <row r="56" spans="1:8" s="176" customFormat="1" ht="15" customHeight="1">
      <c r="A56" s="239" t="s">
        <v>92</v>
      </c>
      <c r="B56" s="239" t="s">
        <v>93</v>
      </c>
      <c r="C56" s="241"/>
      <c r="D56" s="350"/>
      <c r="E56" s="242">
        <v>3921</v>
      </c>
      <c r="F56" s="238">
        <f t="shared" si="1"/>
        <v>39208.5</v>
      </c>
      <c r="G56" s="349"/>
      <c r="H56" s="349"/>
    </row>
    <row r="57" spans="1:8" s="176" customFormat="1" ht="15" customHeight="1">
      <c r="A57" s="231" t="s">
        <v>94</v>
      </c>
      <c r="B57" s="232" t="s">
        <v>95</v>
      </c>
      <c r="C57" s="234">
        <v>3861</v>
      </c>
      <c r="D57" s="241"/>
      <c r="E57" s="242"/>
      <c r="F57" s="238">
        <f t="shared" si="1"/>
        <v>39208.5</v>
      </c>
      <c r="G57" s="349"/>
      <c r="H57" s="349"/>
    </row>
    <row r="58" spans="1:8" s="176" customFormat="1" ht="15" customHeight="1">
      <c r="A58" s="351" t="s">
        <v>94</v>
      </c>
      <c r="B58" s="244" t="s">
        <v>96</v>
      </c>
      <c r="C58" s="234"/>
      <c r="D58" s="260">
        <v>193</v>
      </c>
      <c r="E58" s="242"/>
      <c r="F58" s="238">
        <f t="shared" si="1"/>
        <v>39401.5</v>
      </c>
      <c r="G58" s="349"/>
      <c r="H58" s="349"/>
    </row>
    <row r="59" spans="1:8" s="176" customFormat="1" ht="15" customHeight="1">
      <c r="A59" s="352" t="s">
        <v>97</v>
      </c>
      <c r="B59" s="252" t="s">
        <v>98</v>
      </c>
      <c r="C59" s="241"/>
      <c r="D59" s="241"/>
      <c r="E59" s="246">
        <v>193</v>
      </c>
      <c r="F59" s="238">
        <f t="shared" si="1"/>
        <v>39208.5</v>
      </c>
      <c r="G59" s="349"/>
      <c r="H59" s="349"/>
    </row>
    <row r="60" spans="1:8" s="176" customFormat="1" ht="15" customHeight="1">
      <c r="A60" s="352" t="s">
        <v>97</v>
      </c>
      <c r="B60" s="252" t="s">
        <v>99</v>
      </c>
      <c r="C60" s="241"/>
      <c r="D60" s="241"/>
      <c r="E60" s="246">
        <v>3861</v>
      </c>
      <c r="F60" s="238">
        <f t="shared" si="1"/>
        <v>35347.5</v>
      </c>
      <c r="G60" s="349"/>
      <c r="H60" s="349"/>
    </row>
    <row r="61" spans="1:8" s="176" customFormat="1" ht="15" customHeight="1">
      <c r="A61" s="231" t="s">
        <v>100</v>
      </c>
      <c r="B61" s="232" t="s">
        <v>101</v>
      </c>
      <c r="C61" s="234">
        <v>3802</v>
      </c>
      <c r="D61" s="241"/>
      <c r="E61" s="242"/>
      <c r="F61" s="238">
        <f t="shared" si="1"/>
        <v>35347.5</v>
      </c>
      <c r="G61" s="349"/>
    </row>
    <row r="62" spans="1:8" s="176" customFormat="1" ht="15" customHeight="1">
      <c r="A62" s="353" t="s">
        <v>100</v>
      </c>
      <c r="B62" s="244" t="s">
        <v>102</v>
      </c>
      <c r="C62" s="234"/>
      <c r="D62" s="260">
        <f>C61*5%*7</f>
        <v>1330.7000000000003</v>
      </c>
      <c r="E62" s="242"/>
      <c r="F62" s="238">
        <f t="shared" si="1"/>
        <v>36678.199999999997</v>
      </c>
      <c r="G62" s="349" t="s">
        <v>103</v>
      </c>
    </row>
    <row r="63" spans="1:8" s="176" customFormat="1" ht="15" customHeight="1">
      <c r="A63" s="352">
        <v>43150</v>
      </c>
      <c r="B63" s="252" t="s">
        <v>236</v>
      </c>
      <c r="C63" s="234"/>
      <c r="D63" s="260"/>
      <c r="E63" s="246">
        <v>1330.7</v>
      </c>
      <c r="F63" s="238">
        <f t="shared" si="1"/>
        <v>35347.5</v>
      </c>
      <c r="G63" s="349"/>
    </row>
    <row r="64" spans="1:8" s="176" customFormat="1" ht="15" customHeight="1">
      <c r="A64" s="353" t="s">
        <v>104</v>
      </c>
      <c r="B64" s="244" t="s">
        <v>105</v>
      </c>
      <c r="C64" s="234"/>
      <c r="D64" s="260">
        <f>C61*5%*3</f>
        <v>570.30000000000007</v>
      </c>
      <c r="E64" s="246"/>
      <c r="F64" s="238">
        <f t="shared" si="1"/>
        <v>35917.800000000003</v>
      </c>
      <c r="G64" s="349"/>
    </row>
    <row r="65" spans="1:8" s="176" customFormat="1" ht="15" customHeight="1">
      <c r="A65" s="352">
        <v>43238</v>
      </c>
      <c r="B65" s="252" t="s">
        <v>237</v>
      </c>
      <c r="C65" s="234"/>
      <c r="D65" s="260"/>
      <c r="E65" s="246">
        <v>570.29999999999995</v>
      </c>
      <c r="F65" s="238">
        <f t="shared" si="1"/>
        <v>35347.5</v>
      </c>
      <c r="G65" s="349"/>
    </row>
    <row r="66" spans="1:8" s="176" customFormat="1" ht="15" customHeight="1">
      <c r="A66" s="353" t="s">
        <v>106</v>
      </c>
      <c r="B66" s="244" t="s">
        <v>250</v>
      </c>
      <c r="C66" s="234"/>
      <c r="D66" s="260">
        <f>C61*5%*5</f>
        <v>950.50000000000011</v>
      </c>
      <c r="E66" s="246"/>
      <c r="F66" s="238">
        <f t="shared" si="1"/>
        <v>36298</v>
      </c>
      <c r="G66" s="349"/>
    </row>
    <row r="67" spans="1:8" s="176" customFormat="1" ht="15" customHeight="1">
      <c r="A67" s="352">
        <v>43377</v>
      </c>
      <c r="B67" s="252" t="s">
        <v>251</v>
      </c>
      <c r="C67" s="234"/>
      <c r="D67" s="260"/>
      <c r="E67" s="246">
        <v>950.5</v>
      </c>
      <c r="F67" s="238">
        <f t="shared" si="1"/>
        <v>35347.5</v>
      </c>
      <c r="G67" s="349"/>
    </row>
    <row r="68" spans="1:8" s="176" customFormat="1" ht="15" customHeight="1">
      <c r="A68" s="353" t="s">
        <v>262</v>
      </c>
      <c r="B68" s="244" t="s">
        <v>321</v>
      </c>
      <c r="C68" s="234"/>
      <c r="D68" s="260">
        <f>C61*5%*8</f>
        <v>1520.8000000000002</v>
      </c>
      <c r="E68" s="246"/>
      <c r="F68" s="238">
        <f t="shared" si="1"/>
        <v>36868.300000000003</v>
      </c>
      <c r="G68" s="349"/>
    </row>
    <row r="69" spans="1:8" s="176" customFormat="1" ht="15" customHeight="1">
      <c r="A69" s="231" t="s">
        <v>107</v>
      </c>
      <c r="B69" s="232" t="s">
        <v>108</v>
      </c>
      <c r="C69" s="234">
        <v>3743</v>
      </c>
      <c r="D69" s="241"/>
      <c r="E69" s="246"/>
      <c r="F69" s="238">
        <f t="shared" si="1"/>
        <v>36868.300000000003</v>
      </c>
      <c r="G69" s="354" t="s">
        <v>328</v>
      </c>
      <c r="H69" s="349"/>
    </row>
    <row r="70" spans="1:8" s="176" customFormat="1" ht="15" customHeight="1">
      <c r="A70" s="353" t="s">
        <v>107</v>
      </c>
      <c r="B70" s="353" t="s">
        <v>109</v>
      </c>
      <c r="C70" s="234"/>
      <c r="D70" s="260">
        <f>C69*5%*6</f>
        <v>1122.9000000000001</v>
      </c>
      <c r="E70" s="246"/>
      <c r="F70" s="238">
        <f t="shared" si="1"/>
        <v>37991.200000000004</v>
      </c>
      <c r="G70" s="349" t="s">
        <v>110</v>
      </c>
    </row>
    <row r="71" spans="1:8" s="176" customFormat="1" ht="15" customHeight="1">
      <c r="A71" s="352">
        <v>43150</v>
      </c>
      <c r="B71" s="252" t="s">
        <v>236</v>
      </c>
      <c r="C71" s="234"/>
      <c r="D71" s="260"/>
      <c r="E71" s="246">
        <v>1122.9000000000001</v>
      </c>
      <c r="F71" s="238">
        <f t="shared" si="1"/>
        <v>36868.300000000003</v>
      </c>
      <c r="G71" s="349"/>
    </row>
    <row r="72" spans="1:8" s="176" customFormat="1" ht="15" customHeight="1">
      <c r="A72" s="353" t="s">
        <v>104</v>
      </c>
      <c r="B72" s="244" t="s">
        <v>105</v>
      </c>
      <c r="C72" s="234"/>
      <c r="D72" s="260">
        <f>C69*5%*3</f>
        <v>561.45000000000005</v>
      </c>
      <c r="E72" s="246"/>
      <c r="F72" s="238">
        <f t="shared" si="1"/>
        <v>37429.75</v>
      </c>
      <c r="G72" s="349"/>
    </row>
    <row r="73" spans="1:8" s="176" customFormat="1" ht="15" customHeight="1">
      <c r="A73" s="352">
        <v>43238</v>
      </c>
      <c r="B73" s="252" t="s">
        <v>237</v>
      </c>
      <c r="C73" s="234"/>
      <c r="D73" s="260"/>
      <c r="E73" s="246">
        <v>561.45000000000005</v>
      </c>
      <c r="F73" s="238">
        <f t="shared" si="1"/>
        <v>36868.300000000003</v>
      </c>
      <c r="G73" s="349"/>
    </row>
    <row r="74" spans="1:8" s="176" customFormat="1" ht="15" customHeight="1">
      <c r="A74" s="353" t="s">
        <v>106</v>
      </c>
      <c r="B74" s="244" t="s">
        <v>250</v>
      </c>
      <c r="C74" s="234"/>
      <c r="D74" s="260">
        <f>C69*5%*5</f>
        <v>935.75</v>
      </c>
      <c r="E74" s="246"/>
      <c r="F74" s="238">
        <f t="shared" si="1"/>
        <v>37804.050000000003</v>
      </c>
      <c r="G74" s="349"/>
    </row>
    <row r="75" spans="1:8" s="176" customFormat="1" ht="15" customHeight="1">
      <c r="A75" s="352">
        <v>43377</v>
      </c>
      <c r="B75" s="252" t="s">
        <v>251</v>
      </c>
      <c r="C75" s="234"/>
      <c r="D75" s="355">
        <f>D74-E75</f>
        <v>636.25</v>
      </c>
      <c r="E75" s="246">
        <v>299.5</v>
      </c>
      <c r="F75" s="238">
        <f t="shared" si="1"/>
        <v>38140.800000000003</v>
      </c>
      <c r="G75" s="349"/>
    </row>
    <row r="76" spans="1:8" s="176" customFormat="1" ht="15" customHeight="1">
      <c r="A76" s="353" t="s">
        <v>262</v>
      </c>
      <c r="B76" s="244" t="s">
        <v>322</v>
      </c>
      <c r="C76" s="234"/>
      <c r="D76" s="260">
        <f>C69*5%*8</f>
        <v>1497.2</v>
      </c>
      <c r="E76" s="246"/>
      <c r="F76" s="238">
        <f t="shared" si="1"/>
        <v>39638</v>
      </c>
      <c r="G76" s="349"/>
    </row>
    <row r="77" spans="1:8" s="176" customFormat="1" ht="15" customHeight="1">
      <c r="A77" s="231" t="s">
        <v>111</v>
      </c>
      <c r="B77" s="232" t="s">
        <v>112</v>
      </c>
      <c r="C77" s="234">
        <v>3683</v>
      </c>
      <c r="D77" s="239"/>
      <c r="E77" s="246"/>
      <c r="F77" s="238">
        <f t="shared" si="1"/>
        <v>39638</v>
      </c>
      <c r="G77" s="349"/>
      <c r="H77" s="349"/>
    </row>
    <row r="78" spans="1:8" s="176" customFormat="1" ht="15" customHeight="1">
      <c r="A78" s="353" t="s">
        <v>111</v>
      </c>
      <c r="B78" s="353" t="s">
        <v>113</v>
      </c>
      <c r="C78" s="234"/>
      <c r="D78" s="245">
        <f>C77*5%*5</f>
        <v>920.75</v>
      </c>
      <c r="E78" s="246"/>
      <c r="F78" s="238">
        <f t="shared" si="1"/>
        <v>40558.75</v>
      </c>
      <c r="G78" s="349"/>
      <c r="H78" s="349"/>
    </row>
    <row r="79" spans="1:8" s="176" customFormat="1" ht="15" customHeight="1">
      <c r="A79" s="352">
        <v>43150</v>
      </c>
      <c r="B79" s="252" t="s">
        <v>236</v>
      </c>
      <c r="C79" s="234"/>
      <c r="D79" s="245"/>
      <c r="E79" s="246">
        <v>920.75</v>
      </c>
      <c r="F79" s="238">
        <f t="shared" si="1"/>
        <v>39638</v>
      </c>
      <c r="G79" s="349"/>
      <c r="H79" s="349"/>
    </row>
    <row r="80" spans="1:8" s="176" customFormat="1" ht="15" customHeight="1">
      <c r="A80" s="353" t="s">
        <v>104</v>
      </c>
      <c r="B80" s="244" t="s">
        <v>105</v>
      </c>
      <c r="C80" s="234"/>
      <c r="D80" s="245">
        <f>C77*5%*3</f>
        <v>552.45000000000005</v>
      </c>
      <c r="E80" s="246"/>
      <c r="F80" s="238">
        <f t="shared" si="1"/>
        <v>40190.449999999997</v>
      </c>
      <c r="G80" s="349"/>
      <c r="H80" s="349"/>
    </row>
    <row r="81" spans="1:8" s="176" customFormat="1" ht="15" customHeight="1">
      <c r="A81" s="352">
        <v>43238</v>
      </c>
      <c r="B81" s="252" t="s">
        <v>237</v>
      </c>
      <c r="C81" s="234"/>
      <c r="D81" s="245"/>
      <c r="E81" s="246">
        <v>552.45000000000005</v>
      </c>
      <c r="F81" s="238">
        <f t="shared" si="1"/>
        <v>39638</v>
      </c>
      <c r="G81" s="349"/>
      <c r="H81" s="349"/>
    </row>
    <row r="82" spans="1:8" s="176" customFormat="1" ht="15" customHeight="1">
      <c r="A82" s="353" t="s">
        <v>106</v>
      </c>
      <c r="B82" s="244" t="s">
        <v>323</v>
      </c>
      <c r="C82" s="234"/>
      <c r="D82" s="245">
        <f>C77*5%*13</f>
        <v>2393.9500000000003</v>
      </c>
      <c r="E82" s="246"/>
      <c r="F82" s="238">
        <f t="shared" si="1"/>
        <v>42031.95</v>
      </c>
      <c r="G82" s="349"/>
      <c r="H82" s="349"/>
    </row>
    <row r="83" spans="1:8" s="176" customFormat="1" ht="15" customHeight="1">
      <c r="A83" s="231" t="s">
        <v>114</v>
      </c>
      <c r="B83" s="232" t="s">
        <v>115</v>
      </c>
      <c r="C83" s="234">
        <v>3624</v>
      </c>
      <c r="D83" s="234"/>
      <c r="E83" s="246"/>
      <c r="F83" s="238">
        <f t="shared" si="1"/>
        <v>42031.95</v>
      </c>
      <c r="G83" s="349"/>
    </row>
    <row r="84" spans="1:8" s="176" customFormat="1" ht="15" customHeight="1">
      <c r="A84" s="244" t="s">
        <v>114</v>
      </c>
      <c r="B84" s="244" t="s">
        <v>116</v>
      </c>
      <c r="C84" s="234"/>
      <c r="D84" s="245">
        <f>C83*5%*4</f>
        <v>724.80000000000007</v>
      </c>
      <c r="E84" s="246"/>
      <c r="F84" s="238">
        <f t="shared" si="1"/>
        <v>42756.75</v>
      </c>
      <c r="G84" s="349"/>
    </row>
    <row r="85" spans="1:8" s="176" customFormat="1" ht="15" customHeight="1">
      <c r="A85" s="352">
        <v>43150</v>
      </c>
      <c r="B85" s="252" t="s">
        <v>236</v>
      </c>
      <c r="C85" s="234"/>
      <c r="D85" s="245"/>
      <c r="E85" s="246">
        <v>724.8</v>
      </c>
      <c r="F85" s="238">
        <f t="shared" si="1"/>
        <v>42031.95</v>
      </c>
      <c r="G85" s="349"/>
    </row>
    <row r="86" spans="1:8" s="176" customFormat="1" ht="15" customHeight="1">
      <c r="A86" s="353" t="s">
        <v>104</v>
      </c>
      <c r="B86" s="244" t="s">
        <v>105</v>
      </c>
      <c r="C86" s="234"/>
      <c r="D86" s="245">
        <f>C83*5%*3</f>
        <v>543.6</v>
      </c>
      <c r="E86" s="246"/>
      <c r="F86" s="238">
        <f t="shared" si="1"/>
        <v>42575.549999999996</v>
      </c>
      <c r="G86" s="349"/>
    </row>
    <row r="87" spans="1:8" s="176" customFormat="1" ht="15" customHeight="1">
      <c r="A87" s="352">
        <v>43238</v>
      </c>
      <c r="B87" s="252" t="s">
        <v>237</v>
      </c>
      <c r="C87" s="234"/>
      <c r="D87" s="245"/>
      <c r="E87" s="246">
        <v>543.6</v>
      </c>
      <c r="F87" s="238">
        <f t="shared" si="1"/>
        <v>42031.95</v>
      </c>
      <c r="G87" s="349"/>
    </row>
    <row r="88" spans="1:8" s="176" customFormat="1" ht="15" customHeight="1">
      <c r="A88" s="353" t="s">
        <v>106</v>
      </c>
      <c r="B88" s="244" t="s">
        <v>323</v>
      </c>
      <c r="C88" s="234"/>
      <c r="D88" s="245">
        <f>C83*5%*13</f>
        <v>2355.6000000000004</v>
      </c>
      <c r="E88" s="246"/>
      <c r="F88" s="238">
        <f t="shared" si="1"/>
        <v>44387.549999999996</v>
      </c>
      <c r="G88" s="349"/>
    </row>
    <row r="89" spans="1:8" s="176" customFormat="1" ht="15" customHeight="1">
      <c r="A89" s="231" t="s">
        <v>117</v>
      </c>
      <c r="B89" s="232" t="s">
        <v>118</v>
      </c>
      <c r="C89" s="234">
        <v>3564</v>
      </c>
      <c r="D89" s="234"/>
      <c r="E89" s="246"/>
      <c r="F89" s="238">
        <f t="shared" si="1"/>
        <v>44387.549999999996</v>
      </c>
      <c r="G89" s="349"/>
    </row>
    <row r="90" spans="1:8" s="176" customFormat="1" ht="15" customHeight="1">
      <c r="A90" s="244" t="s">
        <v>117</v>
      </c>
      <c r="B90" s="244" t="s">
        <v>119</v>
      </c>
      <c r="C90" s="234"/>
      <c r="D90" s="245">
        <f>C89*5%*3</f>
        <v>534.6</v>
      </c>
      <c r="E90" s="246"/>
      <c r="F90" s="238">
        <f t="shared" si="1"/>
        <v>44922.149999999994</v>
      </c>
      <c r="G90" s="356">
        <f>7000000/1348</f>
        <v>5192.8783382789316</v>
      </c>
    </row>
    <row r="91" spans="1:8" s="176" customFormat="1" ht="15" customHeight="1">
      <c r="A91" s="352">
        <v>43150</v>
      </c>
      <c r="B91" s="252" t="s">
        <v>236</v>
      </c>
      <c r="C91" s="234"/>
      <c r="D91" s="248"/>
      <c r="E91" s="246">
        <v>422.33</v>
      </c>
      <c r="F91" s="238">
        <f t="shared" si="1"/>
        <v>44499.819999999992</v>
      </c>
      <c r="G91" s="356"/>
    </row>
    <row r="92" spans="1:8" s="176" customFormat="1" ht="15" customHeight="1">
      <c r="A92" s="352">
        <v>43238</v>
      </c>
      <c r="B92" s="252" t="s">
        <v>237</v>
      </c>
      <c r="C92" s="234"/>
      <c r="D92" s="248"/>
      <c r="E92" s="246">
        <v>112.27</v>
      </c>
      <c r="F92" s="238">
        <f t="shared" si="1"/>
        <v>44387.549999999996</v>
      </c>
      <c r="G92" s="356"/>
    </row>
    <row r="93" spans="1:8" s="176" customFormat="1" ht="15" customHeight="1">
      <c r="A93" s="353" t="s">
        <v>104</v>
      </c>
      <c r="B93" s="244" t="s">
        <v>105</v>
      </c>
      <c r="C93" s="234"/>
      <c r="D93" s="245">
        <f>C89*5%*3</f>
        <v>534.6</v>
      </c>
      <c r="E93" s="246"/>
      <c r="F93" s="238">
        <f t="shared" si="1"/>
        <v>44922.149999999994</v>
      </c>
      <c r="G93" s="356"/>
    </row>
    <row r="94" spans="1:8" s="176" customFormat="1" ht="15" customHeight="1">
      <c r="A94" s="352">
        <v>43238</v>
      </c>
      <c r="B94" s="252" t="s">
        <v>237</v>
      </c>
      <c r="C94" s="234"/>
      <c r="D94" s="245"/>
      <c r="E94" s="246">
        <v>534.6</v>
      </c>
      <c r="F94" s="238">
        <f t="shared" si="1"/>
        <v>44387.549999999996</v>
      </c>
      <c r="G94" s="356"/>
    </row>
    <row r="95" spans="1:8" s="176" customFormat="1" ht="15" customHeight="1">
      <c r="A95" s="353" t="s">
        <v>106</v>
      </c>
      <c r="B95" s="244" t="s">
        <v>323</v>
      </c>
      <c r="C95" s="234"/>
      <c r="D95" s="245">
        <f>C89*5%*13</f>
        <v>2316.6000000000004</v>
      </c>
      <c r="E95" s="246"/>
      <c r="F95" s="238">
        <f t="shared" si="1"/>
        <v>46704.149999999994</v>
      </c>
      <c r="G95" s="356"/>
    </row>
    <row r="96" spans="1:8" s="176" customFormat="1" ht="15" customHeight="1">
      <c r="A96" s="231" t="s">
        <v>120</v>
      </c>
      <c r="B96" s="232" t="s">
        <v>121</v>
      </c>
      <c r="C96" s="234">
        <v>3505</v>
      </c>
      <c r="D96" s="234"/>
      <c r="E96" s="246"/>
      <c r="F96" s="238">
        <f t="shared" si="1"/>
        <v>46704.149999999994</v>
      </c>
      <c r="G96" s="349">
        <v>5058.55</v>
      </c>
    </row>
    <row r="97" spans="1:7" s="176" customFormat="1" ht="15" customHeight="1">
      <c r="A97" s="244" t="s">
        <v>120</v>
      </c>
      <c r="B97" s="244" t="s">
        <v>122</v>
      </c>
      <c r="C97" s="234"/>
      <c r="D97" s="245">
        <f>C96*5%*5</f>
        <v>876.25</v>
      </c>
      <c r="E97" s="246"/>
      <c r="F97" s="238">
        <f t="shared" si="1"/>
        <v>47580.399999999994</v>
      </c>
      <c r="G97" s="349">
        <f>G90-G96</f>
        <v>134.32833827893137</v>
      </c>
    </row>
    <row r="98" spans="1:7" s="176" customFormat="1" ht="15" customHeight="1">
      <c r="A98" s="352">
        <v>43238</v>
      </c>
      <c r="B98" s="252" t="s">
        <v>237</v>
      </c>
      <c r="C98" s="234"/>
      <c r="D98" s="245"/>
      <c r="E98" s="246">
        <v>876.25</v>
      </c>
      <c r="F98" s="238">
        <f t="shared" si="1"/>
        <v>46704.149999999994</v>
      </c>
      <c r="G98" s="349"/>
    </row>
    <row r="99" spans="1:7" s="176" customFormat="1" ht="15" customHeight="1">
      <c r="A99" s="353" t="s">
        <v>106</v>
      </c>
      <c r="B99" s="244" t="s">
        <v>323</v>
      </c>
      <c r="C99" s="234"/>
      <c r="D99" s="245">
        <f>C96*5%*13</f>
        <v>2278.25</v>
      </c>
      <c r="E99" s="246"/>
      <c r="F99" s="238">
        <f t="shared" si="1"/>
        <v>48982.399999999994</v>
      </c>
      <c r="G99" s="349"/>
    </row>
    <row r="100" spans="1:7" s="176" customFormat="1" ht="15" customHeight="1">
      <c r="A100" s="231" t="s">
        <v>123</v>
      </c>
      <c r="B100" s="232" t="s">
        <v>124</v>
      </c>
      <c r="C100" s="234">
        <v>3446</v>
      </c>
      <c r="D100" s="234"/>
      <c r="E100" s="246"/>
      <c r="F100" s="238">
        <f t="shared" si="1"/>
        <v>48982.399999999994</v>
      </c>
      <c r="G100" s="349"/>
    </row>
    <row r="101" spans="1:7" s="176" customFormat="1" ht="15" customHeight="1">
      <c r="A101" s="244" t="s">
        <v>123</v>
      </c>
      <c r="B101" s="244" t="s">
        <v>125</v>
      </c>
      <c r="C101" s="234"/>
      <c r="D101" s="245">
        <f>C100*5%*4</f>
        <v>689.2</v>
      </c>
      <c r="E101" s="246"/>
      <c r="F101" s="238">
        <f t="shared" si="1"/>
        <v>49671.599999999991</v>
      </c>
      <c r="G101" s="349"/>
    </row>
    <row r="102" spans="1:7" s="176" customFormat="1" ht="15" customHeight="1">
      <c r="A102" s="352">
        <v>43238</v>
      </c>
      <c r="B102" s="252" t="s">
        <v>237</v>
      </c>
      <c r="C102" s="234"/>
      <c r="D102" s="245"/>
      <c r="E102" s="246">
        <v>689.2</v>
      </c>
      <c r="F102" s="238">
        <f t="shared" si="1"/>
        <v>48982.399999999994</v>
      </c>
      <c r="G102" s="349"/>
    </row>
    <row r="103" spans="1:7" s="176" customFormat="1" ht="15" customHeight="1">
      <c r="A103" s="353" t="s">
        <v>106</v>
      </c>
      <c r="B103" s="244" t="s">
        <v>323</v>
      </c>
      <c r="C103" s="234"/>
      <c r="D103" s="245">
        <f>C100*5%*13</f>
        <v>2239.9</v>
      </c>
      <c r="E103" s="246"/>
      <c r="F103" s="238">
        <f t="shared" si="1"/>
        <v>51222.299999999996</v>
      </c>
      <c r="G103" s="349"/>
    </row>
    <row r="104" spans="1:7" s="176" customFormat="1" ht="15" customHeight="1">
      <c r="A104" s="231" t="s">
        <v>104</v>
      </c>
      <c r="B104" s="232" t="s">
        <v>126</v>
      </c>
      <c r="C104" s="234">
        <v>3386</v>
      </c>
      <c r="D104" s="244"/>
      <c r="E104" s="246"/>
      <c r="F104" s="238">
        <f t="shared" si="1"/>
        <v>51222.299999999996</v>
      </c>
      <c r="G104" s="349"/>
    </row>
    <row r="105" spans="1:7" s="176" customFormat="1" ht="15" customHeight="1">
      <c r="A105" s="244" t="s">
        <v>104</v>
      </c>
      <c r="B105" s="244" t="s">
        <v>127</v>
      </c>
      <c r="C105" s="234"/>
      <c r="D105" s="245">
        <f>C104*5%*3</f>
        <v>507.90000000000003</v>
      </c>
      <c r="E105" s="246"/>
      <c r="F105" s="238">
        <f t="shared" si="1"/>
        <v>51730.2</v>
      </c>
      <c r="G105" s="349"/>
    </row>
    <row r="106" spans="1:7" s="176" customFormat="1" ht="15" customHeight="1">
      <c r="A106" s="352">
        <v>43238</v>
      </c>
      <c r="B106" s="252" t="s">
        <v>237</v>
      </c>
      <c r="C106" s="234"/>
      <c r="D106" s="245"/>
      <c r="E106" s="246">
        <v>507.9</v>
      </c>
      <c r="F106" s="238">
        <f t="shared" si="1"/>
        <v>51222.299999999996</v>
      </c>
      <c r="G106" s="349"/>
    </row>
    <row r="107" spans="1:7" s="176" customFormat="1" ht="15" customHeight="1">
      <c r="A107" s="353" t="s">
        <v>106</v>
      </c>
      <c r="B107" s="244" t="s">
        <v>323</v>
      </c>
      <c r="C107" s="234"/>
      <c r="D107" s="245">
        <f>C104*5%*13</f>
        <v>2200.9</v>
      </c>
      <c r="E107" s="246"/>
      <c r="F107" s="238">
        <f t="shared" si="1"/>
        <v>53423.199999999997</v>
      </c>
      <c r="G107" s="349"/>
    </row>
    <row r="108" spans="1:7" s="176" customFormat="1" ht="15" customHeight="1">
      <c r="A108" s="254" t="s">
        <v>128</v>
      </c>
      <c r="B108" s="232" t="s">
        <v>129</v>
      </c>
      <c r="C108" s="234">
        <v>3327</v>
      </c>
      <c r="D108" s="234"/>
      <c r="E108" s="246"/>
      <c r="F108" s="238">
        <f t="shared" si="1"/>
        <v>53423.199999999997</v>
      </c>
      <c r="G108" s="349"/>
    </row>
    <row r="109" spans="1:7" s="176" customFormat="1" ht="15" customHeight="1">
      <c r="A109" s="250">
        <v>43166</v>
      </c>
      <c r="B109" s="357" t="s">
        <v>130</v>
      </c>
      <c r="C109" s="234"/>
      <c r="D109" s="260">
        <v>244.86</v>
      </c>
      <c r="E109" s="246"/>
      <c r="F109" s="238">
        <f t="shared" si="1"/>
        <v>53668.06</v>
      </c>
      <c r="G109" s="349"/>
    </row>
    <row r="110" spans="1:7" s="176" customFormat="1" ht="15" customHeight="1">
      <c r="A110" s="352">
        <v>43238</v>
      </c>
      <c r="B110" s="252" t="s">
        <v>237</v>
      </c>
      <c r="C110" s="234"/>
      <c r="D110" s="355">
        <v>87.84</v>
      </c>
      <c r="E110" s="246">
        <v>244.86</v>
      </c>
      <c r="F110" s="238">
        <f t="shared" si="1"/>
        <v>53511.039999999994</v>
      </c>
      <c r="G110" s="349"/>
    </row>
    <row r="111" spans="1:7" s="176" customFormat="1" ht="15" customHeight="1">
      <c r="A111" s="353" t="s">
        <v>106</v>
      </c>
      <c r="B111" s="244" t="s">
        <v>323</v>
      </c>
      <c r="C111" s="234"/>
      <c r="D111" s="245">
        <f>C108*5%*13</f>
        <v>2162.5500000000002</v>
      </c>
      <c r="E111" s="246"/>
      <c r="F111" s="238">
        <f t="shared" si="1"/>
        <v>55673.59</v>
      </c>
      <c r="G111" s="349"/>
    </row>
    <row r="112" spans="1:7" s="176" customFormat="1" ht="15" customHeight="1">
      <c r="A112" s="254" t="s">
        <v>131</v>
      </c>
      <c r="B112" s="232" t="s">
        <v>132</v>
      </c>
      <c r="C112" s="234">
        <v>3267.5</v>
      </c>
      <c r="D112" s="234"/>
      <c r="E112" s="246"/>
      <c r="F112" s="238">
        <f t="shared" si="1"/>
        <v>55673.59</v>
      </c>
      <c r="G112" s="349"/>
    </row>
    <row r="113" spans="1:9" s="176" customFormat="1" ht="15" customHeight="1">
      <c r="A113" s="250">
        <v>43197</v>
      </c>
      <c r="B113" s="357" t="s">
        <v>324</v>
      </c>
      <c r="C113" s="234"/>
      <c r="D113" s="358">
        <f>C112*5%*14</f>
        <v>2287.25</v>
      </c>
      <c r="E113" s="246"/>
      <c r="F113" s="238">
        <f t="shared" si="1"/>
        <v>57960.84</v>
      </c>
      <c r="G113" s="349"/>
    </row>
    <row r="114" spans="1:9" s="176" customFormat="1" ht="15" customHeight="1">
      <c r="A114" s="352"/>
      <c r="B114" s="252"/>
      <c r="C114" s="234"/>
      <c r="D114" s="359"/>
      <c r="E114" s="246"/>
      <c r="F114" s="238">
        <f t="shared" si="1"/>
        <v>57960.84</v>
      </c>
      <c r="G114" s="349"/>
    </row>
    <row r="115" spans="1:9" s="176" customFormat="1" ht="15" customHeight="1">
      <c r="A115" s="250"/>
      <c r="B115" s="357"/>
      <c r="C115" s="234"/>
      <c r="D115" s="358"/>
      <c r="E115" s="246"/>
      <c r="F115" s="238">
        <f t="shared" si="1"/>
        <v>57960.84</v>
      </c>
      <c r="G115" s="349"/>
    </row>
    <row r="116" spans="1:9" s="176" customFormat="1" ht="15" customHeight="1">
      <c r="A116" s="250"/>
      <c r="B116" s="357"/>
      <c r="C116" s="234"/>
      <c r="D116" s="358"/>
      <c r="E116" s="360"/>
      <c r="F116" s="238">
        <f t="shared" si="1"/>
        <v>57960.84</v>
      </c>
      <c r="G116" s="349"/>
    </row>
    <row r="117" spans="1:9" s="176" customFormat="1" ht="15" customHeight="1">
      <c r="A117" s="250"/>
      <c r="B117" s="357"/>
      <c r="C117" s="234"/>
      <c r="D117" s="358"/>
      <c r="E117" s="360"/>
      <c r="F117" s="238">
        <f t="shared" si="1"/>
        <v>57960.84</v>
      </c>
      <c r="G117" s="349"/>
    </row>
    <row r="118" spans="1:9" s="176" customFormat="1" ht="15" customHeight="1">
      <c r="A118" s="231"/>
      <c r="B118" s="232"/>
      <c r="C118" s="234"/>
      <c r="D118" s="234"/>
      <c r="E118" s="235"/>
      <c r="F118" s="238">
        <f t="shared" ref="F118" si="2">F117+D118-E118</f>
        <v>57960.84</v>
      </c>
      <c r="G118" s="349"/>
    </row>
    <row r="119" spans="1:9" s="176" customFormat="1" ht="15" customHeight="1">
      <c r="A119" s="429" t="s">
        <v>61</v>
      </c>
      <c r="B119" s="429"/>
      <c r="C119" s="264">
        <f>SUM(C53:C118)</f>
        <v>59629.5</v>
      </c>
      <c r="D119" s="264">
        <f>SUM(D53:D118)-D75</f>
        <v>33134.449999999997</v>
      </c>
      <c r="E119" s="265">
        <f>SUM(E53:E118)</f>
        <v>35439.360000000001</v>
      </c>
      <c r="F119" s="265">
        <f>+F118-D75</f>
        <v>57324.59</v>
      </c>
    </row>
    <row r="120" spans="1:9" s="176" customFormat="1" ht="15" customHeight="1">
      <c r="A120" s="203" t="s">
        <v>62</v>
      </c>
      <c r="B120" s="203"/>
      <c r="C120" s="204"/>
    </row>
    <row r="121" spans="1:9" s="176" customFormat="1" ht="15" customHeight="1">
      <c r="A121" s="203"/>
      <c r="B121" s="203"/>
      <c r="C121" s="204"/>
    </row>
    <row r="122" spans="1:9" ht="15" customHeight="1">
      <c r="B122" s="3"/>
      <c r="D122" s="193"/>
      <c r="F122" s="193"/>
    </row>
    <row r="123" spans="1:9" ht="15" customHeight="1">
      <c r="D123" s="75"/>
      <c r="F123" s="2"/>
    </row>
    <row r="125" spans="1:9" s="4" customFormat="1" ht="15" customHeight="1">
      <c r="C125" s="5"/>
      <c r="D125" s="2"/>
      <c r="E125" s="2"/>
      <c r="F125" s="3"/>
      <c r="G125" s="3"/>
      <c r="H125" s="3"/>
      <c r="I125" s="3"/>
    </row>
    <row r="143" spans="1:9" ht="15" customHeight="1">
      <c r="A143" s="94"/>
      <c r="B143" s="94"/>
      <c r="C143" s="95"/>
      <c r="D143" s="13"/>
      <c r="E143" s="13"/>
      <c r="F143" s="37"/>
      <c r="G143" s="37"/>
      <c r="H143" s="37"/>
      <c r="I143" s="37"/>
    </row>
    <row r="144" spans="1:9" ht="15" customHeight="1">
      <c r="A144" s="94"/>
      <c r="B144" s="94"/>
      <c r="C144" s="95"/>
      <c r="D144" s="13"/>
      <c r="E144" s="13"/>
      <c r="F144" s="37"/>
      <c r="G144" s="37"/>
      <c r="H144" s="37"/>
      <c r="I144" s="37"/>
    </row>
    <row r="145" spans="1:9" s="97" customFormat="1" ht="15" customHeight="1">
      <c r="A145" s="96"/>
      <c r="B145" s="96"/>
      <c r="C145" s="96"/>
      <c r="D145" s="26"/>
      <c r="E145" s="96"/>
      <c r="F145" s="96"/>
      <c r="G145" s="96"/>
      <c r="H145" s="96"/>
      <c r="I145" s="26"/>
    </row>
    <row r="146" spans="1:9" s="97" customFormat="1" ht="15" customHeight="1">
      <c r="A146" s="98"/>
      <c r="B146" s="96"/>
      <c r="C146" s="96"/>
      <c r="D146" s="26"/>
      <c r="E146" s="96"/>
      <c r="F146" s="96"/>
      <c r="G146" s="96"/>
      <c r="H146" s="96"/>
      <c r="I146" s="26"/>
    </row>
    <row r="147" spans="1:9" s="97" customFormat="1" ht="15" customHeight="1">
      <c r="A147" s="98"/>
      <c r="B147" s="96"/>
      <c r="C147" s="96"/>
      <c r="D147" s="26"/>
      <c r="E147" s="96"/>
      <c r="F147" s="96"/>
      <c r="G147" s="96"/>
      <c r="H147" s="96"/>
      <c r="I147" s="26"/>
    </row>
    <row r="148" spans="1:9" s="97" customFormat="1" ht="15" customHeight="1">
      <c r="A148" s="99"/>
      <c r="B148" s="96"/>
      <c r="C148" s="96"/>
      <c r="D148" s="96"/>
      <c r="E148" s="96"/>
      <c r="F148" s="96"/>
      <c r="G148" s="96"/>
      <c r="H148" s="96"/>
      <c r="I148" s="26"/>
    </row>
    <row r="149" spans="1:9" s="97" customFormat="1" ht="15" customHeight="1">
      <c r="A149" s="100"/>
      <c r="B149" s="100"/>
      <c r="C149" s="100"/>
      <c r="D149" s="100"/>
      <c r="E149" s="100"/>
      <c r="F149" s="100"/>
      <c r="G149" s="101"/>
      <c r="H149" s="374"/>
      <c r="I149" s="26"/>
    </row>
    <row r="150" spans="1:9" s="97" customFormat="1" ht="15" customHeight="1">
      <c r="A150" s="26"/>
      <c r="B150" s="99"/>
      <c r="C150" s="103"/>
      <c r="D150" s="104"/>
      <c r="E150" s="26"/>
      <c r="F150" s="105"/>
      <c r="G150" s="106"/>
      <c r="H150" s="106"/>
      <c r="I150" s="26"/>
    </row>
    <row r="151" spans="1:9" s="97" customFormat="1" ht="15" customHeight="1">
      <c r="A151" s="26"/>
      <c r="B151" s="99"/>
      <c r="C151" s="103"/>
      <c r="D151" s="104"/>
      <c r="E151" s="26"/>
      <c r="F151" s="106"/>
      <c r="G151" s="106"/>
      <c r="H151" s="106"/>
      <c r="I151" s="26"/>
    </row>
    <row r="152" spans="1:9" s="97" customFormat="1" ht="15" customHeight="1">
      <c r="A152" s="26"/>
      <c r="B152" s="104"/>
      <c r="C152" s="104"/>
      <c r="D152" s="104"/>
      <c r="E152" s="26"/>
      <c r="F152" s="106"/>
      <c r="G152" s="106"/>
      <c r="H152" s="106"/>
      <c r="I152" s="26"/>
    </row>
    <row r="153" spans="1:9" s="97" customFormat="1" ht="15" customHeight="1">
      <c r="A153" s="26"/>
      <c r="B153" s="104"/>
      <c r="C153" s="107"/>
      <c r="D153" s="104"/>
      <c r="E153" s="26"/>
      <c r="F153" s="106"/>
      <c r="G153" s="106"/>
      <c r="H153" s="104"/>
      <c r="I153" s="26"/>
    </row>
    <row r="154" spans="1:9" s="97" customFormat="1" ht="15" customHeight="1">
      <c r="A154" s="26"/>
      <c r="B154" s="104"/>
      <c r="C154" s="107"/>
      <c r="D154" s="104"/>
      <c r="E154" s="26"/>
      <c r="F154" s="106"/>
      <c r="G154" s="108"/>
      <c r="H154" s="104"/>
      <c r="I154" s="26"/>
    </row>
    <row r="155" spans="1:9" s="97" customFormat="1" ht="15" customHeight="1">
      <c r="A155" s="26"/>
      <c r="B155" s="104"/>
      <c r="C155" s="107"/>
      <c r="D155" s="104"/>
      <c r="E155" s="26"/>
      <c r="F155" s="106"/>
      <c r="G155" s="106"/>
      <c r="H155" s="104"/>
      <c r="I155" s="26"/>
    </row>
    <row r="156" spans="1:9" s="97" customFormat="1" ht="15" customHeight="1">
      <c r="A156" s="26"/>
      <c r="B156" s="26"/>
      <c r="C156" s="26"/>
      <c r="D156" s="104"/>
      <c r="E156" s="26"/>
      <c r="F156" s="106"/>
      <c r="G156" s="106"/>
      <c r="H156" s="109"/>
      <c r="I156" s="26"/>
    </row>
    <row r="157" spans="1:9" s="97" customFormat="1" ht="15" customHeight="1">
      <c r="A157" s="26"/>
      <c r="B157" s="110"/>
      <c r="C157" s="110"/>
      <c r="D157" s="26"/>
      <c r="E157" s="26"/>
      <c r="F157" s="106"/>
      <c r="G157" s="106"/>
      <c r="H157" s="106"/>
      <c r="I157" s="26"/>
    </row>
    <row r="158" spans="1:9" s="97" customFormat="1" ht="15" customHeight="1">
      <c r="A158" s="26"/>
      <c r="B158" s="110"/>
      <c r="C158" s="110"/>
      <c r="D158" s="110"/>
      <c r="E158" s="110"/>
      <c r="F158" s="110"/>
      <c r="G158" s="106"/>
      <c r="H158" s="106"/>
      <c r="I158" s="26"/>
    </row>
    <row r="159" spans="1:9" s="97" customFormat="1" ht="15" customHeight="1">
      <c r="A159" s="416"/>
      <c r="B159" s="416"/>
      <c r="C159" s="416"/>
      <c r="D159" s="416"/>
      <c r="E159" s="416"/>
      <c r="F159" s="416"/>
      <c r="G159" s="111"/>
      <c r="H159" s="112"/>
      <c r="I159" s="26"/>
    </row>
    <row r="160" spans="1:9" s="97" customFormat="1" ht="15" customHeight="1">
      <c r="A160" s="26"/>
      <c r="B160" s="417"/>
      <c r="C160" s="417"/>
      <c r="D160" s="417"/>
      <c r="E160" s="113"/>
      <c r="F160" s="26"/>
      <c r="G160" s="26"/>
      <c r="H160" s="106"/>
      <c r="I160" s="26"/>
    </row>
    <row r="161" spans="1:9" s="97" customFormat="1" ht="15" customHeight="1">
      <c r="A161" s="26"/>
      <c r="B161" s="375"/>
      <c r="C161" s="375"/>
      <c r="D161" s="375"/>
      <c r="E161" s="113"/>
      <c r="F161" s="26"/>
      <c r="G161" s="26"/>
      <c r="H161" s="106"/>
      <c r="I161" s="26"/>
    </row>
    <row r="162" spans="1:9" s="97" customFormat="1" ht="15" customHeight="1">
      <c r="A162" s="26"/>
      <c r="B162" s="115"/>
      <c r="C162" s="375"/>
      <c r="D162" s="375"/>
      <c r="E162" s="113"/>
      <c r="F162" s="108"/>
      <c r="G162" s="26"/>
      <c r="H162" s="106"/>
      <c r="I162" s="26"/>
    </row>
    <row r="163" spans="1:9" s="97" customFormat="1" ht="15" customHeight="1">
      <c r="A163" s="26"/>
      <c r="B163" s="115"/>
      <c r="C163" s="375"/>
      <c r="D163" s="375"/>
      <c r="E163" s="113"/>
      <c r="F163" s="108"/>
      <c r="G163" s="106"/>
      <c r="H163" s="106"/>
      <c r="I163" s="26"/>
    </row>
    <row r="164" spans="1:9" s="97" customFormat="1" ht="15" customHeight="1">
      <c r="A164" s="26"/>
      <c r="B164" s="115"/>
      <c r="C164" s="375"/>
      <c r="D164" s="375"/>
      <c r="E164" s="113"/>
      <c r="F164" s="108"/>
      <c r="G164" s="106"/>
      <c r="H164" s="106"/>
      <c r="I164" s="26"/>
    </row>
    <row r="165" spans="1:9" s="97" customFormat="1" ht="15" customHeight="1">
      <c r="A165" s="26"/>
      <c r="B165" s="99"/>
      <c r="C165" s="116"/>
      <c r="D165" s="104"/>
      <c r="E165" s="374"/>
      <c r="F165" s="108"/>
      <c r="G165" s="117"/>
      <c r="H165" s="118"/>
      <c r="I165" s="26"/>
    </row>
    <row r="166" spans="1:9" s="97" customFormat="1" ht="15" customHeight="1">
      <c r="A166" s="416"/>
      <c r="B166" s="416"/>
      <c r="C166" s="416"/>
      <c r="D166" s="416"/>
      <c r="E166" s="416"/>
      <c r="F166" s="416"/>
      <c r="G166" s="111"/>
      <c r="H166" s="119"/>
      <c r="I166" s="26"/>
    </row>
    <row r="167" spans="1:9" s="97" customFormat="1" ht="15" customHeight="1">
      <c r="A167" s="416"/>
      <c r="B167" s="416"/>
      <c r="C167" s="416"/>
      <c r="D167" s="416"/>
      <c r="E167" s="416"/>
      <c r="F167" s="26"/>
      <c r="G167" s="120"/>
      <c r="H167" s="113"/>
      <c r="I167" s="26"/>
    </row>
    <row r="168" spans="1:9" ht="15" customHeight="1">
      <c r="A168" s="94"/>
      <c r="B168" s="94"/>
      <c r="C168" s="95"/>
      <c r="D168" s="13"/>
      <c r="E168" s="13"/>
      <c r="F168" s="37"/>
      <c r="G168" s="37"/>
      <c r="H168" s="37"/>
      <c r="I168" s="37"/>
    </row>
    <row r="169" spans="1:9" ht="15" customHeight="1">
      <c r="A169" s="94"/>
      <c r="B169" s="94"/>
      <c r="C169" s="95"/>
      <c r="D169" s="13"/>
      <c r="E169" s="13"/>
      <c r="F169" s="37"/>
      <c r="G169" s="37"/>
      <c r="H169" s="37"/>
      <c r="I169" s="37"/>
    </row>
  </sheetData>
  <mergeCells count="19">
    <mergeCell ref="A119:B119"/>
    <mergeCell ref="A159:F159"/>
    <mergeCell ref="B160:D160"/>
    <mergeCell ref="A166:F166"/>
    <mergeCell ref="A167:E167"/>
    <mergeCell ref="A32:B32"/>
    <mergeCell ref="A48:F48"/>
    <mergeCell ref="A50:A51"/>
    <mergeCell ref="B50:B51"/>
    <mergeCell ref="C50:C51"/>
    <mergeCell ref="D50:D51"/>
    <mergeCell ref="E50:E51"/>
    <mergeCell ref="F50:F51"/>
    <mergeCell ref="F17:F18"/>
    <mergeCell ref="A17:A18"/>
    <mergeCell ref="B17:B18"/>
    <mergeCell ref="C17:C18"/>
    <mergeCell ref="D17:D18"/>
    <mergeCell ref="E17:E18"/>
  </mergeCells>
  <printOptions horizontalCentered="1"/>
  <pageMargins left="0" right="0" top="0" bottom="0" header="0.3" footer="0.3"/>
  <pageSetup paperSize="9" scale="85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6</vt:i4>
      </vt:variant>
    </vt:vector>
  </HeadingPairs>
  <TitlesOfParts>
    <vt:vector size="14" baseType="lpstr">
      <vt:lpstr>summary</vt:lpstr>
      <vt:lpstr>Than Naing &amp; Family Cons;</vt:lpstr>
      <vt:lpstr>Kyaw Min Tun</vt:lpstr>
      <vt:lpstr>San Thar Tun (STW)</vt:lpstr>
      <vt:lpstr>U Bo Lwin (STW)</vt:lpstr>
      <vt:lpstr>Chaw Su </vt:lpstr>
      <vt:lpstr>U Zaw Min</vt:lpstr>
      <vt:lpstr>Kyaw Min Tun (2)</vt:lpstr>
      <vt:lpstr>'Chaw Su '!Print_Area</vt:lpstr>
      <vt:lpstr>'Kyaw Min Tun'!Print_Area</vt:lpstr>
      <vt:lpstr>'Kyaw Min Tun (2)'!Print_Area</vt:lpstr>
      <vt:lpstr>'Than Naing &amp; Family Cons;'!Print_Area</vt:lpstr>
      <vt:lpstr>'U Bo Lwin (STW)'!Print_Area</vt:lpstr>
      <vt:lpstr>'U Zaw Min'!Print_Area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Khin Thandar Htwe</dc:creator>
  <cp:lastModifiedBy>UMG</cp:lastModifiedBy>
  <cp:lastPrinted>2023-07-07T03:17:02Z</cp:lastPrinted>
  <dcterms:created xsi:type="dcterms:W3CDTF">2018-07-17T07:27:53Z</dcterms:created>
  <dcterms:modified xsi:type="dcterms:W3CDTF">2024-01-16T05:15:08Z</dcterms:modified>
</cp:coreProperties>
</file>