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activeTab="1"/>
  </bookViews>
  <sheets>
    <sheet name="Cash Report " sheetId="1" r:id="rId1"/>
    <sheet name="SEP" sheetId="6" r:id="rId2"/>
    <sheet name="Cash In Hand" sheetId="2" r:id="rId3"/>
    <sheet name="Daily Transactions" sheetId="5" r:id="rId4"/>
  </sheets>
  <definedNames>
    <definedName name="_xlnm._FilterDatabase" localSheetId="0" hidden="1">'Cash Report '!$A$2:$J$178</definedName>
    <definedName name="_xlnm._FilterDatabase" localSheetId="3" hidden="1">'Daily Transactions'!#REF!</definedName>
    <definedName name="_xlnm._FilterDatabase" localSheetId="1" hidden="1">SEP!$A$2:$J$273</definedName>
    <definedName name="_xlnm.Print_Area" localSheetId="3">'Daily Transactions'!$A$1:$F$41</definedName>
  </definedNames>
  <calcPr calcId="152511"/>
</workbook>
</file>

<file path=xl/calcChain.xml><?xml version="1.0" encoding="utf-8"?>
<calcChain xmlns="http://schemas.openxmlformats.org/spreadsheetml/2006/main">
  <c r="C950" i="2" l="1"/>
  <c r="E39" i="5" l="1"/>
  <c r="G958" i="2" l="1"/>
  <c r="G959" i="2"/>
  <c r="G955" i="2" l="1"/>
  <c r="F40" i="5" l="1"/>
  <c r="I3" i="1" l="1"/>
  <c r="I4" i="1" s="1"/>
  <c r="I5" i="1" s="1"/>
  <c r="I6" i="1" s="1"/>
  <c r="I7" i="1" s="1"/>
  <c r="I8" i="1" s="1"/>
  <c r="I9" i="1" s="1"/>
  <c r="I10" i="1" l="1"/>
  <c r="I11" i="1" s="1"/>
  <c r="I12" i="1" s="1"/>
  <c r="I13" i="1" s="1"/>
  <c r="I14" i="1" s="1"/>
  <c r="I15" i="1" s="1"/>
  <c r="I16" i="1" s="1"/>
  <c r="I17" i="1" s="1"/>
  <c r="I18" i="1" s="1"/>
  <c r="C918" i="2"/>
  <c r="C917" i="2"/>
  <c r="C916" i="2"/>
  <c r="E934" i="2"/>
  <c r="C932" i="2"/>
  <c r="G933" i="2" s="1"/>
  <c r="C915" i="2"/>
  <c r="C914" i="2"/>
  <c r="C913" i="2"/>
  <c r="C912" i="2"/>
  <c r="C911" i="2"/>
  <c r="I19" i="1" l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G932" i="2"/>
  <c r="G934" i="2" s="1"/>
  <c r="C934" i="2"/>
  <c r="C887" i="2"/>
  <c r="C886" i="2"/>
  <c r="C885" i="2"/>
  <c r="C884" i="2"/>
  <c r="C883" i="2"/>
  <c r="I46" i="1" l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C904" i="2"/>
  <c r="I78" i="1" l="1"/>
  <c r="I79" i="1" s="1"/>
  <c r="I80" i="1" s="1"/>
  <c r="I81" i="1" s="1"/>
  <c r="I82" i="1" s="1"/>
  <c r="I83" i="1" s="1"/>
  <c r="I84" i="1" s="1"/>
  <c r="I85" i="1" s="1"/>
  <c r="G904" i="2"/>
  <c r="E906" i="2"/>
  <c r="G905" i="2"/>
  <c r="I86" i="1" l="1"/>
  <c r="I87" i="1" s="1"/>
  <c r="I88" i="1" s="1"/>
  <c r="I89" i="1" s="1"/>
  <c r="I90" i="1" s="1"/>
  <c r="I91" i="1" s="1"/>
  <c r="I92" i="1" s="1"/>
  <c r="I93" i="1" s="1"/>
  <c r="I94" i="1" s="1"/>
  <c r="I95" i="1" s="1"/>
  <c r="I96" i="1" s="1"/>
  <c r="I97" i="1" s="1"/>
  <c r="G906" i="2"/>
  <c r="C906" i="2"/>
  <c r="C857" i="2"/>
  <c r="C856" i="2"/>
  <c r="C854" i="2"/>
  <c r="C855" i="2"/>
  <c r="C853" i="2"/>
  <c r="C852" i="2"/>
  <c r="C874" i="2"/>
  <c r="I98" i="1" l="1"/>
  <c r="I99" i="1" s="1"/>
  <c r="I100" i="1" s="1"/>
  <c r="I101" i="1" s="1"/>
  <c r="I102" i="1" s="1"/>
  <c r="I103" i="1" s="1"/>
  <c r="I104" i="1" s="1"/>
  <c r="I105" i="1" s="1"/>
  <c r="I106" i="1" s="1"/>
  <c r="I107" i="1" s="1"/>
  <c r="I108" i="1" s="1"/>
  <c r="I109" i="1" s="1"/>
  <c r="I110" i="1" s="1"/>
  <c r="I111" i="1" s="1"/>
  <c r="I112" i="1" s="1"/>
  <c r="I113" i="1" s="1"/>
  <c r="I114" i="1" s="1"/>
  <c r="I115" i="1" s="1"/>
  <c r="I116" i="1" s="1"/>
  <c r="I117" i="1" s="1"/>
  <c r="I118" i="1" s="1"/>
  <c r="I119" i="1" s="1"/>
  <c r="I120" i="1" s="1"/>
  <c r="I121" i="1" s="1"/>
  <c r="I122" i="1" s="1"/>
  <c r="G875" i="2"/>
  <c r="I123" i="1" l="1"/>
  <c r="I124" i="1" s="1"/>
  <c r="I125" i="1" s="1"/>
  <c r="I126" i="1" s="1"/>
  <c r="I127" i="1" s="1"/>
  <c r="I128" i="1" s="1"/>
  <c r="I129" i="1" s="1"/>
  <c r="I130" i="1" s="1"/>
  <c r="I131" i="1" s="1"/>
  <c r="I132" i="1" s="1"/>
  <c r="I133" i="1" s="1"/>
  <c r="I134" i="1" s="1"/>
  <c r="I135" i="1" s="1"/>
  <c r="I136" i="1" s="1"/>
  <c r="E877" i="2"/>
  <c r="G876" i="2"/>
  <c r="I137" i="1" l="1"/>
  <c r="I138" i="1" s="1"/>
  <c r="I139" i="1" s="1"/>
  <c r="I140" i="1" s="1"/>
  <c r="I141" i="1" s="1"/>
  <c r="I142" i="1" s="1"/>
  <c r="I143" i="1" s="1"/>
  <c r="I144" i="1" s="1"/>
  <c r="I145" i="1" s="1"/>
  <c r="I146" i="1" s="1"/>
  <c r="I147" i="1" s="1"/>
  <c r="I148" i="1" s="1"/>
  <c r="I149" i="1" s="1"/>
  <c r="I150" i="1" s="1"/>
  <c r="I151" i="1" s="1"/>
  <c r="I152" i="1" s="1"/>
  <c r="I153" i="1" s="1"/>
  <c r="I154" i="1" s="1"/>
  <c r="I155" i="1" s="1"/>
  <c r="I156" i="1" s="1"/>
  <c r="I157" i="1" s="1"/>
  <c r="I158" i="1" s="1"/>
  <c r="I159" i="1" s="1"/>
  <c r="I160" i="1" s="1"/>
  <c r="I161" i="1" s="1"/>
  <c r="I162" i="1" s="1"/>
  <c r="I163" i="1" s="1"/>
  <c r="I164" i="1" s="1"/>
  <c r="I165" i="1" s="1"/>
  <c r="I166" i="1" s="1"/>
  <c r="I167" i="1" s="1"/>
  <c r="I168" i="1" s="1"/>
  <c r="I169" i="1" s="1"/>
  <c r="I170" i="1" s="1"/>
  <c r="I171" i="1" s="1"/>
  <c r="I172" i="1" s="1"/>
  <c r="I173" i="1" s="1"/>
  <c r="I174" i="1" s="1"/>
  <c r="I175" i="1" s="1"/>
  <c r="I176" i="1" s="1"/>
  <c r="I177" i="1" s="1"/>
  <c r="I178" i="1" s="1"/>
  <c r="E2" i="5"/>
  <c r="C960" i="2"/>
  <c r="H965" i="2" s="1"/>
  <c r="G877" i="2"/>
  <c r="C877" i="2"/>
  <c r="C830" i="2"/>
  <c r="C829" i="2"/>
  <c r="C831" i="2"/>
  <c r="G960" i="2" l="1"/>
  <c r="G847" i="2"/>
  <c r="C849" i="2" l="1"/>
  <c r="G848" i="2" l="1"/>
  <c r="E849" i="2" l="1"/>
  <c r="G849" i="2" l="1"/>
  <c r="C811" i="2"/>
  <c r="C809" i="2"/>
  <c r="C810" i="2"/>
  <c r="C808" i="2"/>
  <c r="C807" i="2"/>
  <c r="C821" i="2"/>
  <c r="E826" i="2"/>
  <c r="C824" i="2"/>
  <c r="C820" i="2"/>
  <c r="C819" i="2"/>
  <c r="G825" i="2" l="1"/>
  <c r="G824" i="2"/>
  <c r="G826" i="2" s="1"/>
  <c r="C826" i="2"/>
  <c r="C796" i="2"/>
  <c r="C797" i="2" l="1"/>
  <c r="E803" i="2" l="1"/>
  <c r="C801" i="2"/>
  <c r="G802" i="2" s="1"/>
  <c r="C787" i="2"/>
  <c r="C786" i="2"/>
  <c r="C785" i="2"/>
  <c r="C784" i="2"/>
  <c r="G801" i="2" l="1"/>
  <c r="G803" i="2" s="1"/>
  <c r="C803" i="2"/>
  <c r="C773" i="2" l="1"/>
  <c r="E780" i="2"/>
  <c r="C778" i="2"/>
  <c r="C777" i="2"/>
  <c r="C774" i="2"/>
  <c r="C764" i="2"/>
  <c r="C763" i="2"/>
  <c r="C762" i="2"/>
  <c r="C761" i="2"/>
  <c r="G778" i="2" l="1"/>
  <c r="G779" i="2"/>
  <c r="C780" i="2"/>
  <c r="C750" i="2"/>
  <c r="C751" i="2"/>
  <c r="C755" i="2"/>
  <c r="C754" i="2"/>
  <c r="E757" i="2"/>
  <c r="C741" i="2"/>
  <c r="C740" i="2"/>
  <c r="C739" i="2"/>
  <c r="C738" i="2"/>
  <c r="G780" i="2" l="1"/>
  <c r="G755" i="2"/>
  <c r="G756" i="2"/>
  <c r="C757" i="2"/>
  <c r="C728" i="2"/>
  <c r="E734" i="2"/>
  <c r="C732" i="2"/>
  <c r="C727" i="2"/>
  <c r="C726" i="2"/>
  <c r="C718" i="2"/>
  <c r="C717" i="2"/>
  <c r="C716" i="2"/>
  <c r="C715" i="2"/>
  <c r="G732" i="2" l="1"/>
  <c r="G733" i="2"/>
  <c r="G757" i="2"/>
  <c r="C734" i="2"/>
  <c r="C695" i="2"/>
  <c r="C693" i="2"/>
  <c r="C692" i="2"/>
  <c r="E711" i="2"/>
  <c r="C709" i="2"/>
  <c r="C704" i="2"/>
  <c r="C703" i="2"/>
  <c r="C694" i="2"/>
  <c r="G734" i="2" l="1"/>
  <c r="G710" i="2"/>
  <c r="G709" i="2"/>
  <c r="C711" i="2"/>
  <c r="C681" i="2"/>
  <c r="G711" i="2" l="1"/>
  <c r="C671" i="2"/>
  <c r="C672" i="2"/>
  <c r="C670" i="2"/>
  <c r="C669" i="2"/>
  <c r="C674" i="2" l="1"/>
  <c r="C686" i="2" l="1"/>
  <c r="E688" i="2"/>
  <c r="C680" i="2"/>
  <c r="C688" i="2" l="1"/>
  <c r="G687" i="2"/>
  <c r="G686" i="2"/>
  <c r="C652" i="2"/>
  <c r="C651" i="2"/>
  <c r="C648" i="2"/>
  <c r="C650" i="2"/>
  <c r="C649" i="2"/>
  <c r="C647" i="2"/>
  <c r="C646" i="2"/>
  <c r="E665" i="2"/>
  <c r="C657" i="2"/>
  <c r="G664" i="2" s="1"/>
  <c r="G688" i="2" l="1"/>
  <c r="C665" i="2"/>
  <c r="G663" i="2"/>
  <c r="G665" i="2" s="1"/>
  <c r="C626" i="2" l="1"/>
  <c r="C625" i="2"/>
  <c r="C624" i="2"/>
  <c r="C623" i="2"/>
  <c r="C634" i="2" l="1"/>
  <c r="G641" i="2" s="1"/>
  <c r="E642" i="2"/>
  <c r="G640" i="2"/>
  <c r="C642" i="2" l="1"/>
  <c r="G642" i="2"/>
  <c r="C614" i="2"/>
  <c r="G618" i="2" s="1"/>
  <c r="E619" i="2"/>
  <c r="C603" i="2"/>
  <c r="C602" i="2"/>
  <c r="C601" i="2"/>
  <c r="C600" i="2"/>
  <c r="G617" i="2" l="1"/>
  <c r="G619" i="2" s="1"/>
  <c r="C619" i="2"/>
  <c r="C576" i="2" l="1"/>
  <c r="C589" i="2"/>
  <c r="G593" i="2" s="1"/>
  <c r="E594" i="2"/>
  <c r="C578" i="2"/>
  <c r="C577" i="2"/>
  <c r="C575" i="2"/>
  <c r="G592" i="2" l="1"/>
  <c r="G594" i="2" s="1"/>
  <c r="C594" i="2"/>
  <c r="C555" i="2"/>
  <c r="C554" i="2"/>
  <c r="C553" i="2"/>
  <c r="C552" i="2"/>
  <c r="C566" i="2"/>
  <c r="C563" i="2"/>
  <c r="E571" i="2"/>
  <c r="C571" i="2" l="1"/>
  <c r="G570" i="2"/>
  <c r="G569" i="2"/>
  <c r="G571" i="2" l="1"/>
  <c r="C540" i="2" l="1"/>
  <c r="E548" i="2"/>
  <c r="C543" i="2"/>
  <c r="C534" i="2"/>
  <c r="C533" i="2"/>
  <c r="C532" i="2"/>
  <c r="C531" i="2"/>
  <c r="C530" i="2"/>
  <c r="C529" i="2"/>
  <c r="G547" i="2" l="1"/>
  <c r="G546" i="2"/>
  <c r="C548" i="2"/>
  <c r="C509" i="2"/>
  <c r="C511" i="2"/>
  <c r="C510" i="2"/>
  <c r="C508" i="2"/>
  <c r="C507" i="2"/>
  <c r="C506" i="2"/>
  <c r="C517" i="2"/>
  <c r="C520" i="2"/>
  <c r="E525" i="2"/>
  <c r="G548" i="2" l="1"/>
  <c r="G523" i="2"/>
  <c r="G524" i="2"/>
  <c r="C525" i="2"/>
  <c r="G525" i="2" l="1"/>
  <c r="C486" i="2"/>
  <c r="C485" i="2"/>
  <c r="C484" i="2"/>
  <c r="C483" i="2"/>
  <c r="C460" i="2"/>
  <c r="C461" i="2"/>
  <c r="C462" i="2"/>
  <c r="C463" i="2"/>
  <c r="C464" i="2"/>
  <c r="C465" i="2"/>
  <c r="C494" i="2"/>
  <c r="G501" i="2" s="1"/>
  <c r="E502" i="2"/>
  <c r="C502" i="2" l="1"/>
  <c r="G500" i="2"/>
  <c r="G502" i="2" s="1"/>
  <c r="C477" i="2"/>
  <c r="E479" i="2"/>
  <c r="C476" i="2"/>
  <c r="C474" i="2"/>
  <c r="G477" i="2"/>
  <c r="G478" i="2" l="1"/>
  <c r="G479" i="2" s="1"/>
  <c r="C479" i="2"/>
  <c r="E456" i="2"/>
  <c r="C453" i="2"/>
  <c r="C451" i="2"/>
  <c r="C442" i="2"/>
  <c r="C441" i="2"/>
  <c r="C440" i="2"/>
  <c r="C439" i="2"/>
  <c r="C438" i="2"/>
  <c r="C437" i="2"/>
  <c r="G455" i="2" l="1"/>
  <c r="G454" i="2"/>
  <c r="C456" i="2"/>
  <c r="G456" i="2" l="1"/>
  <c r="E430" i="2"/>
  <c r="C427" i="2"/>
  <c r="C425" i="2"/>
  <c r="C416" i="2"/>
  <c r="C415" i="2"/>
  <c r="C414" i="2"/>
  <c r="C413" i="2"/>
  <c r="C412" i="2"/>
  <c r="C411" i="2"/>
  <c r="G429" i="2" l="1"/>
  <c r="C430" i="2"/>
  <c r="G428" i="2"/>
  <c r="G430" i="2" s="1"/>
  <c r="E407" i="2"/>
  <c r="C404" i="2"/>
  <c r="C402" i="2"/>
  <c r="C393" i="2"/>
  <c r="C392" i="2"/>
  <c r="C391" i="2"/>
  <c r="C390" i="2"/>
  <c r="C389" i="2"/>
  <c r="C388" i="2"/>
  <c r="G405" i="2" l="1"/>
  <c r="G406" i="2"/>
  <c r="C407" i="2"/>
  <c r="C379" i="2"/>
  <c r="C381" i="2"/>
  <c r="G407" i="2" l="1"/>
  <c r="G383" i="2"/>
  <c r="C365" i="2"/>
  <c r="E384" i="2" l="1"/>
  <c r="C370" i="2"/>
  <c r="C369" i="2"/>
  <c r="C368" i="2"/>
  <c r="C367" i="2"/>
  <c r="C366" i="2"/>
  <c r="G382" i="2" l="1"/>
  <c r="G384" i="2" s="1"/>
  <c r="C384" i="2"/>
  <c r="C358" i="2" l="1"/>
  <c r="G360" i="2" s="1"/>
  <c r="E361" i="2"/>
  <c r="C347" i="2"/>
  <c r="C346" i="2"/>
  <c r="C345" i="2"/>
  <c r="C344" i="2"/>
  <c r="C343" i="2"/>
  <c r="C342" i="2"/>
  <c r="C341" i="2"/>
  <c r="G359" i="2" l="1"/>
  <c r="G361" i="2" s="1"/>
  <c r="C361" i="2"/>
  <c r="E338" i="2"/>
  <c r="G337" i="2"/>
  <c r="C324" i="2"/>
  <c r="C323" i="2"/>
  <c r="C322" i="2"/>
  <c r="C321" i="2"/>
  <c r="C320" i="2"/>
  <c r="C319" i="2"/>
  <c r="C318" i="2"/>
  <c r="G336" i="2" l="1"/>
  <c r="G338" i="2" s="1"/>
  <c r="C338" i="2"/>
  <c r="C295" i="2"/>
  <c r="E314" i="2"/>
  <c r="G313" i="2"/>
  <c r="C301" i="2"/>
  <c r="C300" i="2"/>
  <c r="C299" i="2"/>
  <c r="C298" i="2"/>
  <c r="C297" i="2"/>
  <c r="C296" i="2"/>
  <c r="G312" i="2" l="1"/>
  <c r="G314" i="2" s="1"/>
  <c r="C314" i="2"/>
  <c r="C275" i="2"/>
  <c r="C274" i="2"/>
  <c r="C290" i="2"/>
  <c r="C288" i="2"/>
  <c r="C285" i="2"/>
  <c r="E292" i="2"/>
  <c r="C279" i="2"/>
  <c r="C278" i="2"/>
  <c r="C277" i="2"/>
  <c r="C276" i="2"/>
  <c r="C273" i="2"/>
  <c r="G291" i="2" l="1"/>
  <c r="C292" i="2"/>
  <c r="G290" i="2"/>
  <c r="G292" i="2" s="1"/>
  <c r="C251" i="2" l="1"/>
  <c r="C250" i="2"/>
  <c r="C269" i="2"/>
  <c r="C256" i="2"/>
  <c r="C255" i="2"/>
  <c r="C254" i="2"/>
  <c r="C253" i="2"/>
  <c r="C252" i="2"/>
  <c r="C263" i="2"/>
  <c r="E267" i="2"/>
  <c r="C265" i="2"/>
  <c r="C260" i="2"/>
  <c r="G266" i="2" l="1"/>
  <c r="C267" i="2"/>
  <c r="C270" i="2" s="1"/>
  <c r="G265" i="2"/>
  <c r="G267" i="2" s="1"/>
  <c r="C233" i="2" l="1"/>
  <c r="C232" i="2"/>
  <c r="C231" i="2"/>
  <c r="C230" i="2"/>
  <c r="C229" i="2"/>
  <c r="C228" i="2"/>
  <c r="C241" i="2"/>
  <c r="C243" i="2"/>
  <c r="E245" i="2" l="1"/>
  <c r="C238" i="2"/>
  <c r="G244" i="2" s="1"/>
  <c r="C234" i="2"/>
  <c r="G243" i="2" s="1"/>
  <c r="C245" i="2" l="1"/>
  <c r="C222" i="2"/>
  <c r="E215" i="2"/>
  <c r="C208" i="2"/>
  <c r="G214" i="2" s="1"/>
  <c r="C204" i="2"/>
  <c r="C203" i="2"/>
  <c r="C202" i="2"/>
  <c r="C201" i="2"/>
  <c r="C200" i="2"/>
  <c r="C199" i="2"/>
  <c r="G213" i="2" l="1"/>
  <c r="C215" i="2"/>
  <c r="C224" i="2" s="1"/>
  <c r="C183" i="2" l="1"/>
  <c r="C182" i="2"/>
  <c r="C181" i="2"/>
  <c r="C180" i="2"/>
  <c r="C179" i="2"/>
  <c r="C178" i="2"/>
  <c r="E194" i="2"/>
  <c r="C187" i="2"/>
  <c r="G193" i="2" s="1"/>
  <c r="G192" i="2" l="1"/>
  <c r="C194" i="2"/>
  <c r="E173" i="2" l="1"/>
  <c r="C166" i="2"/>
  <c r="G172" i="2" s="1"/>
  <c r="C164" i="2"/>
  <c r="C162" i="2"/>
  <c r="C161" i="2"/>
  <c r="C160" i="2"/>
  <c r="C159" i="2"/>
  <c r="C158" i="2"/>
  <c r="C157" i="2"/>
  <c r="G171" i="2" l="1"/>
  <c r="C173" i="2"/>
  <c r="C141" i="2"/>
  <c r="C140" i="2"/>
  <c r="C139" i="2"/>
  <c r="C138" i="2"/>
  <c r="C137" i="2"/>
  <c r="C136" i="2"/>
  <c r="E152" i="2" l="1"/>
  <c r="C145" i="2"/>
  <c r="G151" i="2" s="1"/>
  <c r="C143" i="2"/>
  <c r="G150" i="2" s="1"/>
  <c r="C152" i="2" l="1"/>
  <c r="C119" i="2" l="1"/>
  <c r="E131" i="2"/>
  <c r="C126" i="2"/>
  <c r="G130" i="2" s="1"/>
  <c r="C124" i="2"/>
  <c r="C123" i="2"/>
  <c r="C122" i="2"/>
  <c r="C121" i="2"/>
  <c r="C120" i="2"/>
  <c r="C118" i="2"/>
  <c r="C131" i="2" l="1"/>
  <c r="G129" i="2"/>
  <c r="C104" i="2"/>
  <c r="C105" i="2"/>
  <c r="C107" i="2"/>
  <c r="G111" i="2" s="1"/>
  <c r="C103" i="2"/>
  <c r="C102" i="2"/>
  <c r="C101" i="2"/>
  <c r="C100" i="2"/>
  <c r="E112" i="2"/>
  <c r="C99" i="2"/>
  <c r="G110" i="2" l="1"/>
  <c r="C112" i="2"/>
  <c r="G92" i="2" l="1"/>
  <c r="C86" i="2"/>
  <c r="C85" i="2"/>
  <c r="C84" i="2"/>
  <c r="C83" i="2"/>
  <c r="C82" i="2"/>
  <c r="C81" i="2"/>
  <c r="C80" i="2"/>
  <c r="G67" i="2" l="1"/>
  <c r="G66" i="2"/>
  <c r="G62" i="2"/>
  <c r="G61" i="2"/>
  <c r="G65" i="2"/>
  <c r="G64" i="2"/>
  <c r="G63" i="2"/>
  <c r="G69" i="2" l="1"/>
  <c r="E93" i="2"/>
  <c r="C93" i="2"/>
  <c r="G91" i="2"/>
  <c r="C71" i="2" l="1"/>
  <c r="C76" i="2"/>
  <c r="C69" i="2" l="1"/>
  <c r="G73" i="2" s="1"/>
  <c r="E74" i="2"/>
  <c r="C67" i="2"/>
  <c r="C66" i="2"/>
  <c r="C65" i="2"/>
  <c r="C64" i="2"/>
  <c r="C63" i="2"/>
  <c r="C62" i="2"/>
  <c r="C61" i="2"/>
  <c r="C74" i="2" l="1"/>
  <c r="C77" i="2" s="1"/>
  <c r="G72" i="2"/>
  <c r="G74" i="2" s="1"/>
  <c r="G75" i="2" s="1"/>
  <c r="C43" i="2"/>
  <c r="C46" i="2"/>
  <c r="C45" i="2"/>
  <c r="C44" i="2"/>
  <c r="C42" i="2"/>
  <c r="C41" i="2"/>
  <c r="C56" i="2"/>
  <c r="E54" i="2"/>
  <c r="C49" i="2"/>
  <c r="G53" i="2" s="1"/>
  <c r="C47" i="2"/>
  <c r="G52" i="2" l="1"/>
  <c r="G54" i="2" s="1"/>
  <c r="G55" i="2" s="1"/>
  <c r="C54" i="2"/>
  <c r="C57" i="2" s="1"/>
  <c r="C30" i="2"/>
  <c r="C247" i="2" l="1"/>
  <c r="C248" i="2" s="1"/>
  <c r="C31" i="2"/>
  <c r="C29" i="2"/>
  <c r="E34" i="2"/>
  <c r="C32" i="2"/>
  <c r="C27" i="2"/>
  <c r="C26" i="2"/>
  <c r="C25" i="2"/>
  <c r="C24" i="2"/>
  <c r="C23" i="2"/>
  <c r="C22" i="2"/>
  <c r="C21" i="2"/>
  <c r="C17" i="2"/>
  <c r="G32" i="2" l="1"/>
  <c r="C36" i="2"/>
  <c r="G33" i="2"/>
  <c r="C34" i="2"/>
  <c r="C11" i="2"/>
  <c r="C7" i="2"/>
  <c r="C3" i="2"/>
  <c r="C4" i="2"/>
  <c r="C8" i="2"/>
  <c r="C6" i="2"/>
  <c r="G34" i="2" l="1"/>
  <c r="G35" i="2" s="1"/>
  <c r="C37" i="2"/>
  <c r="C2" i="2"/>
  <c r="C10" i="2"/>
  <c r="C12" i="2"/>
  <c r="C13" i="2"/>
  <c r="E15" i="2" l="1"/>
  <c r="C5" i="2"/>
  <c r="G13" i="2" s="1"/>
  <c r="C15" i="2" l="1"/>
  <c r="C18" i="2" s="1"/>
  <c r="G14" i="2"/>
  <c r="G15" i="2" s="1"/>
  <c r="G16" i="2" s="1"/>
  <c r="F41" i="5" l="1"/>
</calcChain>
</file>

<file path=xl/sharedStrings.xml><?xml version="1.0" encoding="utf-8"?>
<sst xmlns="http://schemas.openxmlformats.org/spreadsheetml/2006/main" count="2904" uniqueCount="934">
  <si>
    <t>Voucher No</t>
  </si>
  <si>
    <t>Date</t>
  </si>
  <si>
    <t>Purpose</t>
  </si>
  <si>
    <t>Comer</t>
  </si>
  <si>
    <t>Description</t>
  </si>
  <si>
    <t>In (MMK)</t>
  </si>
  <si>
    <t>Out (MMK)</t>
  </si>
  <si>
    <t>Balance (MMK)</t>
  </si>
  <si>
    <t>Remark</t>
  </si>
  <si>
    <t>OPENING</t>
  </si>
  <si>
    <t/>
  </si>
  <si>
    <t>Opening Balance</t>
  </si>
  <si>
    <t>MMK</t>
  </si>
  <si>
    <t>USD</t>
  </si>
  <si>
    <t>WFN (Unit)</t>
  </si>
  <si>
    <t>UMGM (Unit CD, )(MMK)</t>
  </si>
  <si>
    <t>UMG S'part</t>
  </si>
  <si>
    <t>Budget Closing</t>
  </si>
  <si>
    <t>Adj</t>
  </si>
  <si>
    <t>Customer Income</t>
  </si>
  <si>
    <t>Closing Balance</t>
  </si>
  <si>
    <t>195 (Service)</t>
  </si>
  <si>
    <t xml:space="preserve"> </t>
  </si>
  <si>
    <t>Unit Income</t>
  </si>
  <si>
    <t>200*1</t>
  </si>
  <si>
    <t>500*2</t>
  </si>
  <si>
    <t>6.6.2022</t>
  </si>
  <si>
    <t>10000*71</t>
  </si>
  <si>
    <t>50*3</t>
  </si>
  <si>
    <t>1000*282</t>
  </si>
  <si>
    <t>5000*112</t>
  </si>
  <si>
    <t>100*3</t>
  </si>
  <si>
    <t>8.6.2022</t>
  </si>
  <si>
    <t>9.6.2022</t>
  </si>
  <si>
    <t>10000*27</t>
  </si>
  <si>
    <t>500*5</t>
  </si>
  <si>
    <t>200*7</t>
  </si>
  <si>
    <t>100*6</t>
  </si>
  <si>
    <t>1000*362</t>
  </si>
  <si>
    <t>13.6.2022</t>
  </si>
  <si>
    <t>14.6.2022</t>
  </si>
  <si>
    <t>DH's Kpay</t>
  </si>
  <si>
    <t>1000*360</t>
  </si>
  <si>
    <t>500*3</t>
  </si>
  <si>
    <t>200*11</t>
  </si>
  <si>
    <t>100*26</t>
  </si>
  <si>
    <t>50*7</t>
  </si>
  <si>
    <t>Closing</t>
  </si>
  <si>
    <t>10000*17</t>
  </si>
  <si>
    <t>1000*48</t>
  </si>
  <si>
    <t>100*24</t>
  </si>
  <si>
    <t>Motor Income Cash Down</t>
  </si>
  <si>
    <t>At DH's Kpay</t>
  </si>
  <si>
    <t>15.6.2022</t>
  </si>
  <si>
    <t>5000*100</t>
  </si>
  <si>
    <t>1000*10</t>
  </si>
  <si>
    <t>500*1</t>
  </si>
  <si>
    <t>200*8</t>
  </si>
  <si>
    <t>50*1</t>
  </si>
  <si>
    <t>100*21</t>
  </si>
  <si>
    <t>16.6.2022</t>
  </si>
  <si>
    <t>5000*101</t>
  </si>
  <si>
    <t>17.6.2022</t>
  </si>
  <si>
    <t>Spart Chgs</t>
  </si>
  <si>
    <t>At Fin's Kpay</t>
  </si>
  <si>
    <t>5000*117</t>
  </si>
  <si>
    <t>1000*54</t>
  </si>
  <si>
    <t>18.6.2022</t>
  </si>
  <si>
    <t>20.6.2022</t>
  </si>
  <si>
    <t>10000*420</t>
  </si>
  <si>
    <t>1000*27</t>
  </si>
  <si>
    <t>100*17</t>
  </si>
  <si>
    <t>21.6.2022</t>
  </si>
  <si>
    <t xml:space="preserve">Adv clear fFrom Service </t>
  </si>
  <si>
    <t>Adv clear frofm Marketing</t>
  </si>
  <si>
    <t>Total</t>
  </si>
  <si>
    <t>Receivable from Marketing</t>
  </si>
  <si>
    <t>Closin in hand</t>
  </si>
  <si>
    <t>22.6.2022</t>
  </si>
  <si>
    <t>10000*453</t>
  </si>
  <si>
    <t>5000*3</t>
  </si>
  <si>
    <t>1000*149</t>
  </si>
  <si>
    <t>100*18</t>
  </si>
  <si>
    <t>23.6.2022</t>
  </si>
  <si>
    <t>1000*49</t>
  </si>
  <si>
    <t>10000*143</t>
  </si>
  <si>
    <t>CLOSING</t>
  </si>
  <si>
    <t>5000*13</t>
  </si>
  <si>
    <t>24.6.2022</t>
  </si>
  <si>
    <t>5000*14</t>
  </si>
  <si>
    <t>1000*51</t>
  </si>
  <si>
    <t>AT DH'S KPAY</t>
  </si>
  <si>
    <t>Unit Income U KYAW NAING</t>
  </si>
  <si>
    <t>Unit Income NU NU KYI</t>
  </si>
  <si>
    <t>27.6.2022</t>
  </si>
  <si>
    <t>10000*93</t>
  </si>
  <si>
    <t>28.6.2022</t>
  </si>
  <si>
    <t>AT ZIN'S KPAY</t>
  </si>
  <si>
    <t>UNIT DEPOSIT (U WIN BO)</t>
  </si>
  <si>
    <t>29.6.2022</t>
  </si>
  <si>
    <t>Details</t>
  </si>
  <si>
    <t>1.7.2022</t>
  </si>
  <si>
    <t>5000*1</t>
  </si>
  <si>
    <t>2.7.2022</t>
  </si>
  <si>
    <t>4.7.2022</t>
  </si>
  <si>
    <t>AT ZIN'S KAY</t>
  </si>
  <si>
    <t>5.7.2022</t>
  </si>
  <si>
    <t>6.7.2022</t>
  </si>
  <si>
    <t>AT CASH'S KPAY</t>
  </si>
  <si>
    <t>3LK AT CASH'S KPAY  24 LKS IS CASH</t>
  </si>
  <si>
    <t>7.7.2022</t>
  </si>
  <si>
    <t>10000*200</t>
  </si>
  <si>
    <t>5000*580</t>
  </si>
  <si>
    <t>5000*19</t>
  </si>
  <si>
    <t>change</t>
  </si>
  <si>
    <t>8.7.2022</t>
  </si>
  <si>
    <t>10000*10</t>
  </si>
  <si>
    <t>5000*73</t>
  </si>
  <si>
    <t>1000*3</t>
  </si>
  <si>
    <t>100*1</t>
  </si>
  <si>
    <t>200*12</t>
  </si>
  <si>
    <t>at cash kpay</t>
  </si>
  <si>
    <t>11.7.2022</t>
  </si>
  <si>
    <t>13.7.2022</t>
  </si>
  <si>
    <t>10000*100</t>
  </si>
  <si>
    <t>5000*129</t>
  </si>
  <si>
    <t>1000*21</t>
  </si>
  <si>
    <t>100 CHANGE</t>
  </si>
  <si>
    <t>14.7.2022</t>
  </si>
  <si>
    <t>5000*93</t>
  </si>
  <si>
    <t>15.7.2022</t>
  </si>
  <si>
    <t>50 CHANGE</t>
  </si>
  <si>
    <t>18.7.2022</t>
  </si>
  <si>
    <t>10000*30</t>
  </si>
  <si>
    <t>5000*9</t>
  </si>
  <si>
    <t>1000*13</t>
  </si>
  <si>
    <t>200*2</t>
  </si>
  <si>
    <t>20.7.2022</t>
  </si>
  <si>
    <t>10000*6</t>
  </si>
  <si>
    <t>5000*21</t>
  </si>
  <si>
    <t>5000*1000</t>
  </si>
  <si>
    <t>1000*110</t>
  </si>
  <si>
    <t>200*4</t>
  </si>
  <si>
    <t>AT ACC'SKPAY</t>
  </si>
  <si>
    <t>10000*7</t>
  </si>
  <si>
    <t>5000*22</t>
  </si>
  <si>
    <t>25.7.2022</t>
  </si>
  <si>
    <t>26.7.2022</t>
  </si>
  <si>
    <t>10000*8</t>
  </si>
  <si>
    <t>5000*24</t>
  </si>
  <si>
    <t>27.7.2022</t>
  </si>
  <si>
    <t>28.7.2022</t>
  </si>
  <si>
    <t>AT CASH'S KPAY 440000/-  Ks and 3710000/- Cash</t>
  </si>
  <si>
    <t>29.7.2022</t>
  </si>
  <si>
    <t>AT CASH'S KPAY 390000/-&amp; ACC'S KPAY 705000/-  Ks and 3710000/- Cash</t>
  </si>
  <si>
    <t xml:space="preserve"> ACC'S KPAY 805000/-  Ks and 4265000/- Cash</t>
  </si>
  <si>
    <t>1.8.2022</t>
  </si>
  <si>
    <t>2.8.2022</t>
  </si>
  <si>
    <t>1000*351</t>
  </si>
  <si>
    <t>S'PART CHGS</t>
  </si>
  <si>
    <t>PV/RV</t>
  </si>
  <si>
    <t>PIC</t>
  </si>
  <si>
    <t>DESCRIPTIONS</t>
  </si>
  <si>
    <t xml:space="preserve">AMOUNT </t>
  </si>
  <si>
    <t>TOTAL RV</t>
  </si>
  <si>
    <t>TOTAL PV</t>
  </si>
  <si>
    <t>21.9.2022</t>
  </si>
  <si>
    <t>10000*16</t>
  </si>
  <si>
    <t>5000*115</t>
  </si>
  <si>
    <t xml:space="preserve">AT KPAY </t>
  </si>
  <si>
    <t>Service</t>
  </si>
  <si>
    <t>10000*41</t>
  </si>
  <si>
    <t>5000*375</t>
  </si>
  <si>
    <t>500*10</t>
  </si>
  <si>
    <t>1000*2</t>
  </si>
  <si>
    <t>8.11.2022</t>
  </si>
  <si>
    <t xml:space="preserve">AT DH KPAY </t>
  </si>
  <si>
    <t>Other Income</t>
  </si>
  <si>
    <t>FOR BROKER</t>
  </si>
  <si>
    <t>18.11.2022</t>
  </si>
  <si>
    <t>10000*4</t>
  </si>
  <si>
    <t>5000*2</t>
  </si>
  <si>
    <t>1000*1</t>
  </si>
  <si>
    <t>21.11.2022</t>
  </si>
  <si>
    <t>100*2</t>
  </si>
  <si>
    <t>SPART</t>
  </si>
  <si>
    <t xml:space="preserve">Prepared By </t>
  </si>
  <si>
    <t xml:space="preserve">Khin Yadanar Htun </t>
  </si>
  <si>
    <t xml:space="preserve"> Kpay</t>
  </si>
  <si>
    <t>AT ACCOUNT</t>
  </si>
  <si>
    <t>Adm#Repair &amp; Maintenance Charges (Motocycle)</t>
  </si>
  <si>
    <t>AYE THANDAR HTWE (SERVICE)</t>
  </si>
  <si>
    <t>\</t>
  </si>
  <si>
    <t xml:space="preserve">                                       Motorcycle BU System Closing Report  For September 2023</t>
  </si>
  <si>
    <t xml:space="preserve">Service </t>
  </si>
  <si>
    <t>CASH</t>
  </si>
  <si>
    <t>PV/MTC/WMC/2023/10/001</t>
  </si>
  <si>
    <t>ADVANCE PAY FOR JETSKI ENGINE TRANSPOT AND BATTERY CHGS  TL 500000/-</t>
  </si>
  <si>
    <t>ADVANCE PAY FOR JETSKI ENGINE TRANSPOTATION CHGS FROM MDY TO YGN KS 250000/- AND JETSKI BATTERY CHGS KS 250000/- TL 500000/- PAY TO AYE THHJDAR HTWE</t>
  </si>
  <si>
    <t>PV/MTC/WMC/2023/10/002</t>
  </si>
  <si>
    <t>ADVANCE PAY FOR JETSKI ENGINE INSTALLATION CHGS KS 500000/-</t>
  </si>
  <si>
    <t>ADVANCE PAY FOR JETSKI ENGINE INSTALLATION CHGS KS 500000/- PAY TO AYE THNDAR HTWE</t>
  </si>
  <si>
    <t>PV/MTC/WMC/2023/10/003</t>
  </si>
  <si>
    <t>Adm#Advertising Expenses</t>
  </si>
  <si>
    <t>THIRI SOE (SALE)</t>
  </si>
  <si>
    <t>ADVANCE PAY FOR A BANK MOTORCYCLE STICKER CHGS 1PCS KS 100000/-</t>
  </si>
  <si>
    <t>ADVANCE PAY FOR A BANK MOTORCYCLE STICKER CHGS 1PCS KS 100000/- PAY TO THIRI SOE</t>
  </si>
  <si>
    <t>PV/MTC/WMC/2023/10/004</t>
  </si>
  <si>
    <t>CASH PAY FOR CYCLE UMG 125 FRONT AND REAR REPAIR CHGS KS 38000/-</t>
  </si>
  <si>
    <t>CASH PAY FOR CYCLE UMG 125 FRONT AND REAR REPAIR CHGS KS 38000/- PAY TO THIRI SOE</t>
  </si>
  <si>
    <t>PV/MTC/WMC/2023/10/005</t>
  </si>
  <si>
    <t>Exp#Operation Expenses</t>
  </si>
  <si>
    <t>CASH PAY FOR BLITZ FRAME CHGS 000007 HPN LABOUR CHGS KS 20000/-</t>
  </si>
  <si>
    <t>CASH PAY FOR BLITZ FRAME CHGS 000007 HPN LABOUR CHGS KS 20000/- PAY TO THIRI SOE</t>
  </si>
  <si>
    <t>PV/MTC/WMC/2023/10/006</t>
  </si>
  <si>
    <t>Adm#Computer &amp; Copier Repair Charges</t>
  </si>
  <si>
    <t>ADVANCE PAY FOR UPS BATTERY PURCHASE CHGS KS 27000/-</t>
  </si>
  <si>
    <t>ADVANCE PAY FOR UPS BATTERY PURCHASE CHGS KS 27000/- PAY TO THIRI SOE</t>
  </si>
  <si>
    <t>PV/MTC/WMC/2023/10/007</t>
  </si>
  <si>
    <t>Adm#Employee Travelling Expenses-Local Trip</t>
  </si>
  <si>
    <t>ADVANCE PAY FOR TA CHGS FOR BAGO, TGO AND NPT KS 250000/- PIC PYAE SONE</t>
  </si>
  <si>
    <t>ADVANCE PAY FOR TA CHGS FOR BAGO, TGO AND NPT KS 250000/- PIC PYAE SONE PAY TO THIRI SOE</t>
  </si>
  <si>
    <t>PV/MTC/WMC/2023/10/008</t>
  </si>
  <si>
    <t>ADVANCE PAY FOR TA CHGS FOR MDY,MTL,NPT,MGW, KS 500000/-</t>
  </si>
  <si>
    <t>ADVANCE PAY FOR TA CHGS FOR MDY,MTL,NPT,MGW, KS 500000/- PAY TO THIRI SOE</t>
  </si>
  <si>
    <t>PV/MTC/WMC/2023/10/009</t>
  </si>
  <si>
    <t>ADVANCE PAY FOR LAPTOP REPAIR CHGS KS 100000/-</t>
  </si>
  <si>
    <t>ADVANCE PAY FOR LAPTOP REPAIR CHGS KS 100000/-  PAY TO THIRI SOE</t>
  </si>
  <si>
    <t>PV/MTC/WMC/2023/10/010</t>
  </si>
  <si>
    <t>Exp#Transport &amp; Handlling Expenses</t>
  </si>
  <si>
    <t>ADVANCE PAY FOR YGN TO NYU CITY TRANSPOTIAON CHGS KS 500000/-</t>
  </si>
  <si>
    <t>ADVANCE PAY FOR YGN TO NYU CITY TRANSPOTIAON CHGS KS 500000/- PAY TO THIRI SOE</t>
  </si>
  <si>
    <t>PV/MTC/WMC/2023/10/011</t>
  </si>
  <si>
    <t>ADVANCE PAY FOR LAPADON DL TO YGN KS 500000/-</t>
  </si>
  <si>
    <t>ADVANCE PAY FOR LAPADON DL TO YGN KS 500000/- PAY TO THIRI SOE</t>
  </si>
  <si>
    <t>PV/MTC/WMC/2023/10/012</t>
  </si>
  <si>
    <t>ADVANCE PAY FOR YGN TO MDY PYAY TRANSPOTIAON CHGS KS 500000/-</t>
  </si>
  <si>
    <t>ADVANCE PAY FOR YGN TO MDY PYAY TRANSPOTIAON CHGS KS 500000/- PAY TO THIRI SOE</t>
  </si>
  <si>
    <t>PV/MTC/WMC/2023/10/013</t>
  </si>
  <si>
    <t>ADVANCE PAY FOR YGN TO MDY CITY TRANSPOTIAON CHGS KS 500000/-</t>
  </si>
  <si>
    <t>ADVANCE PAY FOR YGN TO MDY CITY TRANSPOTIAON CHGS KS 500000/- PAY TO THIRI SOE</t>
  </si>
  <si>
    <t>PV/MTC/WMC/2023/10/014</t>
  </si>
  <si>
    <t>ADVANCE PAY FOR MKN TO MDY TRANSPOTIAON CHGS KS 500000/-</t>
  </si>
  <si>
    <t>ADVANCE PAY FOR MKN TO MDY TRANSPOTIAON CHGS KS 500000/- PAY TO THIRI SOE</t>
  </si>
  <si>
    <t>RV/MTC/WMC/2023/10/001</t>
  </si>
  <si>
    <t>Fin#Money Transfer</t>
  </si>
  <si>
    <t>CORP CASH</t>
  </si>
  <si>
    <t>MONEY TRANSFER FROM CORP CASH FOR OCTOBER BUDGET KS 1200000/-</t>
  </si>
  <si>
    <t>MONEY TRANSFER FROM CORP CASH FOR OCTOBER BUDGET KS 1200000/- HQT-PV-2023-10-0179</t>
  </si>
  <si>
    <t>RV/MTC/WMC/2023/10/002</t>
  </si>
  <si>
    <t>ADVANCE CLEAR FOR YGN TO NPT TRANSPOITAION CHGS KS 500000/-</t>
  </si>
  <si>
    <t>ADVANCE CLEAR FOR YGN TO NPT TRANSPOITAION CHGS KS 500000/- ADV 500000/- PV/MTC/WMC/2023/09/016 EXP 0/- REF 500000/-</t>
  </si>
  <si>
    <t>RV/MTC/WMC/2023/10/003</t>
  </si>
  <si>
    <t>ADVANCE CLEAR FOR YGN TO TGO TRANSPOTAION CHGS 500000/-</t>
  </si>
  <si>
    <t>ADVANCE CLEAR FOR YGN TO TGO TRANSPOTAION CHGS 500000/- ADV 500000/- PV/MTC/WMC/2023/09/031 EXP 0/- REF 500000/-</t>
  </si>
  <si>
    <t>RV/MTC/WMC/2023/10/004</t>
  </si>
  <si>
    <t>ADVANCE CLEAR FOR YGN TO NYU TRANSPOTAION CHGS KS 500000/-</t>
  </si>
  <si>
    <t>ADVANCE CLEAR FOR YGN TO NYU TRANSPOTAION CHGS KS 500000/- ADV PV/MTC/WMC/2023/09/017 EXP 0/- REF 500000/-</t>
  </si>
  <si>
    <t>RV/MTC/WMC/2023/10/005</t>
  </si>
  <si>
    <t>ADVANCE CLEAR FOR YGN TO MDY TRANSPOTIAON CHGS 500000/-</t>
  </si>
  <si>
    <t>ADVANCE CLEAR FOR YGN TO MDY TRANSPOTIAON CHGS 500000/- ADV PV/MTC/WMC/2023/09/014 EXP 0/- REF 500000/-</t>
  </si>
  <si>
    <t>RV/MTC/WMC/2023/10/006</t>
  </si>
  <si>
    <t>ADVANCE CLEAR FOR YGN TO BGO TRANSPOTAION CHGS 500000/-</t>
  </si>
  <si>
    <t>ADVANCE CLEAR FOR YGN TO BGO TRANSPOTAION CHGS 500000/- ADV 500000?- PV/MTC/WMC/2023/09/015 EXP 0/- REF 500000/-</t>
  </si>
  <si>
    <t>PV/MTC/WMC/2023/10/015</t>
  </si>
  <si>
    <t>Adm#Car Fuel Expenses</t>
  </si>
  <si>
    <t>YA MIN HAN ,DAW (HR)</t>
  </si>
  <si>
    <t>ADVANCE PAY FOR CAR FUEL CHGS FOR OCT 23 6H/1209 KS 70000/-</t>
  </si>
  <si>
    <t>ADVANCE PAY FOR CAR FUEL CHGS FOR OCT 23 6H/1209 KS 70000/- PAY TO YA MIN HAN</t>
  </si>
  <si>
    <t>PV/MTC/WMC/2023/10/016</t>
  </si>
  <si>
    <t>Adm#Miscellaneous Expenses</t>
  </si>
  <si>
    <t>ADVANCE PAY FOR BUDDHIST FLOWER DONATION CHGS KS 50000/-</t>
  </si>
  <si>
    <t>ADVANCE PAY FOR BUDDHIST FLOWER DONATION CHGS KS 50000/- PAY TO THIRI SOE</t>
  </si>
  <si>
    <t>PV/MTC/WMC/2023/10/017</t>
  </si>
  <si>
    <t>ADVANCE PAY FOR JESTKI ENGINE INSTALLATION THIRD CHGS KS 500000/-</t>
  </si>
  <si>
    <t>ADVANCE PAY FOR JESTKI ENGINE INSTALLATION THIRD CHGS KS 500000/- PAY TO AYE THNDAR HTWE</t>
  </si>
  <si>
    <t>RV/MTC/WMC/2023/10/007</t>
  </si>
  <si>
    <t>BUDGET TRANSFER FROM HO FOR JETSKI BUDGET KS 500000/-</t>
  </si>
  <si>
    <t>PV/MTC/WMC/2023/10/018</t>
  </si>
  <si>
    <t>ADVANCE CLEAR FOR CAR FUEL CHGS FOR 6H/1209 FOR SEP KS 70000/-</t>
  </si>
  <si>
    <t>ADVANCE CLEAR FOR CAR FUEL CHGS FOR 6H/1209 FOR SEP KS 70000/- ADV PV/MTC/WMC/2023/09/023 EXP 280000/- ADD 210000/-</t>
  </si>
  <si>
    <t>PV/MTC/WMC/2023/10/019</t>
  </si>
  <si>
    <t>ADVANCE PAY FOR GENERAL EXPENSE FOR OCTOBER BUILDING MAINTENANCE KS 300000/-</t>
  </si>
  <si>
    <t>ADVANCE PAY FOR GENERAL EXPENSE FOR OCTOBER BUILDING MAINTENANCE KS 300000/- PAY TO YA MIN HAN</t>
  </si>
  <si>
    <t>PV/MTC/WMC/2023/10/020</t>
  </si>
  <si>
    <t>Employee SSB charges</t>
  </si>
  <si>
    <t>ADVANCE PAY SSB CHGS FOR SEP 23 KS 300000/-</t>
  </si>
  <si>
    <t>ADVANCE PAY SSB CHGS FOR SEP 23 KS 300000/- PAY TO YA MIN HAN</t>
  </si>
  <si>
    <t>PV/MTC/WMC/2023/10/021</t>
  </si>
  <si>
    <t>ADVANCE PAY FOR YCDC TRUSH CAN CLEANING CHGS KS 75000/-</t>
  </si>
  <si>
    <t>ADVANCE PAY FOR YCDC TRUSH CAN CLEANING CHGS KS 75000/- PAY TO YA MIN HAN</t>
  </si>
  <si>
    <t>PV/MTC/WMC/2023/10/022</t>
  </si>
  <si>
    <t>ADVANCE PAY FOR DOG FEED CHGS FOR OCT 23 KS 70000/-</t>
  </si>
  <si>
    <t>ADVANCE PAY FOR DOG FEED CHGS FOR OCT 23 KS 70000/- PAY TO YA MIN HAN</t>
  </si>
  <si>
    <t>PV/MTC/WMC/2023/10/023</t>
  </si>
  <si>
    <t>CASH PAY FOR STATIONERY UD BUILDING SERVICE DEPT AND ADMIN DEPT KS 21400/- PAY TO YA MIN HAN</t>
  </si>
  <si>
    <t>PV/MTC/WMC/2023/10/024</t>
  </si>
  <si>
    <t>ADVANCE CLEAR FOR GIANT AND KETSKI PAINTING CHGS KS 500000/-</t>
  </si>
  <si>
    <t>ADVANCE CLEAR FOR GIANT AND KETSKI PAINTING CHGS KS 500000/- ADV PV/MTC/WMC/2023/09/042 EXP 525000/- ADD 25000/-</t>
  </si>
  <si>
    <t>PV/MTC/WMC/2023/10/025</t>
  </si>
  <si>
    <t>ADVANCE CLEAR FOR SPIN REPAIR CHGS KS 600000/-</t>
  </si>
  <si>
    <t>ADVANCE CLEAR FOR SPIN REPAIR CHGS KS 600000/- ADV PV/MTC/WMC/2023/09/060 EXP 628350/- ADD 28350/-</t>
  </si>
  <si>
    <t>PV/MTC/WMC/2023/10/026</t>
  </si>
  <si>
    <t>ADVANCE CLEAR FOR STAR UMG MOTOR REPAIR CHGS 900000/-</t>
  </si>
  <si>
    <t>ADVANCE CLEAR FOR STAR UMG MOTOR REPAIR CHGS 900000/- ADV PV/MTC/WMC/2023/08/072 EXP 940000/- ADD 40000/-</t>
  </si>
  <si>
    <t>PV/MTC/WMC/2023/10/027</t>
  </si>
  <si>
    <t>ADVANCE PAY FOR DAMON 1U REPAIR CHGS FROM MTL KS 300000/-</t>
  </si>
  <si>
    <t>ADVANCE PAY FOR DAMON 1U REPAIR CHGS FROM MTL KS 300000/- PAY TO AYE THNDAR HTWE</t>
  </si>
  <si>
    <t>PV/MTC/WMC/2023/10/028</t>
  </si>
  <si>
    <t>ADVANCE PAY FOR KLX 125 REPAIR CHGS FROM BMK KS 300000/-</t>
  </si>
  <si>
    <t>ADVANCE PAY FOR KLX 125 REPAIR CHGS FROM BMK KS 300000/- PAY TO AYE THNDA RHTWE</t>
  </si>
  <si>
    <t>PV/MTC/WMC/2023/10/029</t>
  </si>
  <si>
    <t>ADVANCE PAY FOR ENGINE REPAIR CHGS AND MACHINE CLEANING CHGS KS 500000/-</t>
  </si>
  <si>
    <t>ADVANCE PAY FOR ENGINE REPAIR CHGS AND MACHINE CLEANING CHGS KS 500000/- PAY TO AYE THDNAR HTWE</t>
  </si>
  <si>
    <t>PV/MTC/WMC/2023/10/030</t>
  </si>
  <si>
    <t>ADVANCE PAY FOR SPIN 657647 COLOUR PAINTING CHGS KS 450000/-</t>
  </si>
  <si>
    <t>ADVANCE PAY FOR SPIN 657647 COLOUR PAINTING CHGS KS 450000/- PAY TO AYE THNDA RHTWE</t>
  </si>
  <si>
    <t>PV/MTC/WMC/2023/10/031</t>
  </si>
  <si>
    <t>ADVANCE PAY FOR TA CHGS FOR YGN MDY EMPLOYEE 2PERSONS KS 500000/-</t>
  </si>
  <si>
    <t>ADVANCE PAY FOR TA CHGS FOR YGN MDY EMPLOYEE 2PERSONS KS 500000/- PAY TO AYE THNDA RHTWE</t>
  </si>
  <si>
    <t>PV/MTC/WMC/2023/10/032</t>
  </si>
  <si>
    <t>ADVANCE PAY FOR 3W AND CYCLE SERVICE ASSEMBLY AND TRANSFER TEST RUN FUEL CHGS KS 300000/-</t>
  </si>
  <si>
    <t>ADVANCE PAY FOR 3W AND CYCLE SERVICE ASSEMBLY AND TRANSFER TEST RUN FUEL CHGS KS 300000/- PAY TO AYE THJNDAR HTWE</t>
  </si>
  <si>
    <t>PV/MTC/WMC/2023/10/033</t>
  </si>
  <si>
    <t>ADVANCE PAY FOR GENERAL USE AND ASSEMBLY NEED PARTS CHGS KS 300000/-</t>
  </si>
  <si>
    <t>ADVANCE PAY FOR GENERAL USE AND ASSEMBLY NEED PARTS CHGS KS 300000/- PAY TO AYET HNDAR FHTWE</t>
  </si>
  <si>
    <t>PV/MTC/WMC/2023/10/034</t>
  </si>
  <si>
    <t>ADVANCE PAY FOR SELENA 1U REPAIR CHGS FROM  MC BU TO MDY KS 100000/-</t>
  </si>
  <si>
    <t>ADVANCE PAY FOR SELENA 1U REPAIR CHGS FROM  MC BU TO MDY KS 100000/- PAY TO AYE THANDAR HTWE</t>
  </si>
  <si>
    <t>PV/MTC/WMC/2023/10/035</t>
  </si>
  <si>
    <t>ADVANCE PAY FOR SEAT NEW MAKING CHGS FOR SELENA 10U KS 350000/-</t>
  </si>
  <si>
    <t>ADVANCE PAY FOR SEAT NEW MAKING CHGS FOR SELENA 10U KS 350000/- PAY TO AEY THNANDAR HTWE</t>
  </si>
  <si>
    <t>PV/MTC/WMC/2023/10/036</t>
  </si>
  <si>
    <t>ADVANCE PAY FOR GOVERNOR FOR SELENA REPAIR CHGS KS 400000/-</t>
  </si>
  <si>
    <t>ADVANCE PAY FOR GOVERNOR FOR SELENA REPAIR CHGS KS 400000/- PAY TO AYE THNDA RHTWE</t>
  </si>
  <si>
    <t>PV/MTC/WMC/2023/10/037</t>
  </si>
  <si>
    <t>ADVANCE PAY FOR COLOUR PAINTING CHGS SPIN BLACK 450000/-</t>
  </si>
  <si>
    <t>ADVANCE PAY FOR COLOUR PAINTING CHGS SPIN BLACK 450000/- PAY TO AYE THNDAR HTWE</t>
  </si>
  <si>
    <t>RV/MTC/WMC/2023/10/008</t>
  </si>
  <si>
    <t>BUDGET TRANSFER FROM HO FOR OCT BUDGET 4800000/-</t>
  </si>
  <si>
    <t>RV/MTC/WMC/2023/10/009</t>
  </si>
  <si>
    <t>ADVANCE CLEAR FOR GEMERAL OPERATION CHGS FOR SEP 23 KS 300000/-</t>
  </si>
  <si>
    <t>ADVANCE CLEAR FOR GEMERAL OPERATION CHGS FOR SEP 23 KS 300000/- PV/MTC/WMC/2023/09/007 EXP 249300/- REF 50700/-</t>
  </si>
  <si>
    <t>RV/MTC/WMC/2023/10/010</t>
  </si>
  <si>
    <t>ADVANCE CLEAR FOR SSB CHGS FOR AUG 300000/-</t>
  </si>
  <si>
    <t>ADVANCE CLEAR FOR SSB CHGS FOR AUG 300000/- PV/MTC/WMC/2023/09/008 EXP 197500/- REF 102500/-</t>
  </si>
  <si>
    <t>RV/MTC/WMC/2023/10/011</t>
  </si>
  <si>
    <t>ADVANCE CLEAR FOR BUDDHIST FLOWER DONATION CHGS KS 50000/-</t>
  </si>
  <si>
    <t>ADVANCE CLEAR FOR BUDDHIST FLOWER DONATION CHGS KS 50000/- PV/MTC/WMC/2023/09/009 EXP 35500/- REF 14500/-</t>
  </si>
  <si>
    <t>RV/MTC/WMC/2023/10/012</t>
  </si>
  <si>
    <t>ADVANCE CLEAR FOR CITY MODIFIED CHGS KS 1000000/-</t>
  </si>
  <si>
    <t>ADVANCE CLEAR FOR CITY MODIFIED CHGS KS 1000000/- ADV PV/MTC/WMC/2023/09/058 EX;P 895000/- REF 105000/-</t>
  </si>
  <si>
    <t>RV/MTC/WMC/2023/10/013</t>
  </si>
  <si>
    <t>Adm#Employee Overtime Charges</t>
  </si>
  <si>
    <t>ADVANCE CLEAR FOR OT CHGS FOR SERVICE KS 100000/-</t>
  </si>
  <si>
    <t>ADVANCE CLEAR FOR OT CHGS FOR SERVICE KS 100000/- ADV PV/MTC/WMC/2023/09/047 EXP 0/- REF 100000/-</t>
  </si>
  <si>
    <t>RV/MTC/WMC/2023/10/014</t>
  </si>
  <si>
    <t>ADVANCE CLEAR FOR UMG MOTOR AND CITY REPAIR CHGS KS 500000/-</t>
  </si>
  <si>
    <t>ADVANCE CLEAR FOR UMG MOTOR AND CITY REPAIR CHGS KS 500000/- ADV PV/MTC/WMC/2023/09/045 EXP 411150/- REF 88850/-</t>
  </si>
  <si>
    <t>RV/MTC/WMC/2023/10/015</t>
  </si>
  <si>
    <t>ADVANCE CLEAR FOR CITY REPAIR AND NEED PART CHGS KS 300000/-</t>
  </si>
  <si>
    <t>ADVANCE CLEAR FOR CITY REPAIR AND NEED PART CHGS KS 300000/- ADV PV/MTC/WMC/2023/09/046 EXP 286000/- REF 14000/-</t>
  </si>
  <si>
    <t>RV/MTC/WMC/2023/10/016</t>
  </si>
  <si>
    <t>ADVANCE CLEAR FOR SUPER AND CITY REPAIR AND PAINTING CHGS KS 500000/-</t>
  </si>
  <si>
    <t>ADVANCE CLEAR FOR SUPER AND CITY REPAIR AND PAINTING CHGS KS 500000/- ADV PV/MTC/WMC/2023/09/041 EXP 440000/- REF 60000/-</t>
  </si>
  <si>
    <t>RV/MTC/WMC/2023/10/017</t>
  </si>
  <si>
    <t>ADVANCE CLEAR FOR JETSKI ENGINE PURCHASING CHGS KS 8100000/-</t>
  </si>
  <si>
    <t>ADVANCE CLEAR FOR JETSKI ENGINE PURCHASING CHGS KS 8100000/- ADV PV/MTC/WMC/2023/09/067 AND PV/MTC/WMC/2023/09/085 EXP 8094550/- REF 5450/-</t>
  </si>
  <si>
    <t>RV/MTC/WMC/2023/10/018</t>
  </si>
  <si>
    <t>Service Income</t>
  </si>
  <si>
    <t>BAMAUK BR (CUSTOMER)</t>
  </si>
  <si>
    <t>RECEIVED FROM CUSTOMER FOR SERVICE CHGS KS 10000/-</t>
  </si>
  <si>
    <t>RECEIVED FROM CUSTOMER FOR SERVICE CHGS KS 10000/- FOR SEVI/BMC/UMG-HO/2023/10/004 KS 10000/-</t>
  </si>
  <si>
    <t>PV/MTC/WMC/2023/10/038</t>
  </si>
  <si>
    <t>MONEY TRANFFER FOR SERVICE INCOME FOR 3CUSTOMER KS 30000/-</t>
  </si>
  <si>
    <t>MONEY TRANFFER FOR SERVICE INCOME FOR 3CUSTOMER KS 30000/- FOR MIN SOE MIN 15000/- PHYO MIN PAING 5000/- AND BMK 10000KS TOTAL 30000KS</t>
  </si>
  <si>
    <t>RV/MTC/WMC/2023/10/019</t>
  </si>
  <si>
    <t>PHYO MIN PAING , U</t>
  </si>
  <si>
    <t>RECEIVED FROM CUSTOMER FOR SERVICE CHGS KS 5000/-</t>
  </si>
  <si>
    <t>RECEIVED FROM CUSTOMER FOR SERVICE CHGS KS 5000/- FOR SEVI/BMC/UMG-HO/2023/10/005</t>
  </si>
  <si>
    <t>RV/MTC/WMC/2023/10/020</t>
  </si>
  <si>
    <t>MIN SOE MIN ,U</t>
  </si>
  <si>
    <t>RECEIVED FROM CUSTOMER FOR SERVICE CHGS KS 15000/-</t>
  </si>
  <si>
    <t>RECEIVED FROM CUSTOMER FOR SERVICE CHGS KS 15000/- FOR SEVI/BMC/UMG-HO/2023/10/006</t>
  </si>
  <si>
    <t>PV/MTC/WMC/2023/10/039</t>
  </si>
  <si>
    <t>Thet Htar San</t>
  </si>
  <si>
    <t>ADVANCE CLEAR FOR CAR FUEL CHGS FOR 4D/8341 FOR SEP KS 80000/-</t>
  </si>
  <si>
    <t>ADVANCE CLEAR FOR CAR FUEL CHGS FOR 4D/8341 FOR SEP KS 80000/- ADV PV/MTC/WMC/2023/09/024 EXP 95000/- ADD 15000/-</t>
  </si>
  <si>
    <t>PV/MTC/WMC/2023/10/040</t>
  </si>
  <si>
    <t>ADVANCE PAY FOR CAR FUEL CHGS FOR 4D/8341 KS 80000/- FOR OCT 23</t>
  </si>
  <si>
    <t>ADVANCE PAY FOR CAR FUEL CHGS FOR 4D/8341 KS 80000/- FOR OCT 23 PAY TO THET HTAR SAN</t>
  </si>
  <si>
    <t>PV/MTC/WMC/2023/10/041</t>
  </si>
  <si>
    <t>CASH PAY FOR COMPUTER POWER SUPPLY REPAIR CHGS KS 66500/-</t>
  </si>
  <si>
    <t>CASH PAY FOR COMPUTER POWER SUPPLY REPAIR CHGS KS 66500/- PAY TO THIRI SOE</t>
  </si>
  <si>
    <t>PV/MTC/WMC/2023/10/042</t>
  </si>
  <si>
    <t>CASH PAY FOR VINYL GUN BUYING CHGS FOR MARKETING KS 15800/-</t>
  </si>
  <si>
    <t>CASH PAY FOR VINYL GUN BUYING CHGS FOR MARKETING KS 15800/- PAY TO THIRI SOE</t>
  </si>
  <si>
    <t>PV/MTC/WMC/2023/10/043</t>
  </si>
  <si>
    <t>CASH PAY FOR LAPTOP REPAIR CHGS FOR LED COLOUR COVER PICTURE CHGS KS 244000/-</t>
  </si>
  <si>
    <t>CASH PAY FOR LAPTOP REPAIR CHGS FOR LED COLOUR COVER PICTURE CHGS KS 244000/- PAY TO THIRI SOE</t>
  </si>
  <si>
    <t>RV/MTC/WMC/2023/10/021</t>
  </si>
  <si>
    <t>ADVANCE CLEAR FOR KEY CHAIN FOR MARKETING KS 400000/-</t>
  </si>
  <si>
    <t>ADVANCE CLEAR FOR KEY CHAIN FOR MARKETING KS 400000/- ADV PV/MTC/WMC/2023/09/049 EXP 324000/- REF 76000/-</t>
  </si>
  <si>
    <t>RV/MTC/WMC/2023/10/022</t>
  </si>
  <si>
    <t>ADVANCE CLEAR FOR TRANSPOTAION CHGS KS 500000/-</t>
  </si>
  <si>
    <t>ADVANCE CLEAR FOR TRANSPOTAION CHGS KS 500000/- ADV PV/MTC/WMC/2023/09/032 EXP 300000/- REF 200000/-</t>
  </si>
  <si>
    <t>RV/MTC/WMC/2023/10/023</t>
  </si>
  <si>
    <t>ZAW ZAW MIN,U</t>
  </si>
  <si>
    <t>RECEIVED FROM CUSTOMER FOR SERVICE CHGS KS 5000/- FOR SEVI/BMC/UMG-HO/2023/10/007 KS 5000/-</t>
  </si>
  <si>
    <t>RV/MTC/WMC/2023/10/024</t>
  </si>
  <si>
    <t>RECEIVED FROM CUSTOMER FOR SERVICE CHGS KS 20000/-</t>
  </si>
  <si>
    <t>RECEIVED FROM CUSTOMER FOR SERVICE CHGS KS 20000/- FOR SEVI/BMC/UMG-HO/2023/10/008 KS 20000/-</t>
  </si>
  <si>
    <t>PV/MTC/WMC/2023/10/044</t>
  </si>
  <si>
    <t>ADVANCE PAY FOR UMG MOTOR COLOUR PAINTING FOR DAMON 10U KS 1500000/-</t>
  </si>
  <si>
    <t>PV/MTC/WMC/2023/10/045</t>
  </si>
  <si>
    <t>ADVANCE PAY FOR UMG MOTOR SELENA 10 U COLOUR PAINTING CHGS KS 1500000/-</t>
  </si>
  <si>
    <t>PV/MTC/WMC/2023/10/046</t>
  </si>
  <si>
    <t>ADVANCE PAY FOR SELENA FUEL PUMP PURCHASE CHGS KS 900000/-</t>
  </si>
  <si>
    <t>ADVANCE PAY FOR SELENA FUEL PUMP PURCHASE CHGS KS 900000/- PAY TO AYE THND AR HTWE</t>
  </si>
  <si>
    <t>PV/MTC/WMC/2023/10/047</t>
  </si>
  <si>
    <t>ADVANCE PAY FOR BLITZ1U COLOUR PAINITNG CHGS 000096 KS 800000/-</t>
  </si>
  <si>
    <t>ADVANCE PAY FOR BLITZ1U COLOUR PAINITNG CHGS 000096 KS 800000/- PAY TO AYE THNDAR HTWE</t>
  </si>
  <si>
    <t>PV/MTC/WMC/2023/10/048</t>
  </si>
  <si>
    <t>ADVANCE PAY FOR RCJ 1U COLOUR PAIDNTING CHGS KS 500000/-</t>
  </si>
  <si>
    <t>ADVANCE PAY FOR RCJ 1U COLOUR PAIDNTING CHGS KS 500000/- PAY TO AYE THANDAR HTWE</t>
  </si>
  <si>
    <t>PV/MTC/WMC/2023/10/049</t>
  </si>
  <si>
    <t>CASH PAY FOR MTL TO MDY SELENA FRAME NO 00322 KS 60000/-</t>
  </si>
  <si>
    <t>CASH PAY FOR MTL TO MDY SELENA FRAME NO 00322 KS 60000/- PAY TO THIRI SOE</t>
  </si>
  <si>
    <t>PV/MTC/WMC/2023/10/050</t>
  </si>
  <si>
    <t>ADVANCE PAY FOR MARKETING TA CHGS FOR MUB ABD PYAY KS 30000/-</t>
  </si>
  <si>
    <t>ADVANCE PAY FOR MARKETING TA CHGS FOR MUB ABD PYAY KS 30000/- PAY TO THIRI SOE</t>
  </si>
  <si>
    <t>PV/MTC/WMC/2023/10/051</t>
  </si>
  <si>
    <t>ADVANCE PAY FOR OPERATION EXP FOR OCT'23 100000/-</t>
  </si>
  <si>
    <t>ADVANCE PAY FOR OPERATION EXP FOR OCT'23 100000/- PAY TO THIRI SOE</t>
  </si>
  <si>
    <t>PV/MTC/WMC/2023/10/052</t>
  </si>
  <si>
    <t>CASH PAY FOR MCBU BIRTHDAY CAKE CHGS OCT BORN KS 33000/-</t>
  </si>
  <si>
    <t>CASH PAY FOR MCBU BIRTHDAY CAKE CHGS OCT BORN KS 33000/- PAY TO YA MIN HAN</t>
  </si>
  <si>
    <t>PV/MTC/WMC/2023/10/053</t>
  </si>
  <si>
    <t>Adm#Electricity Expenses</t>
  </si>
  <si>
    <t>CASH PAY FOR METERBILL CHGS FOR EP KS 722800/-</t>
  </si>
  <si>
    <t>CASH PAY FOR METERBILL CHGS FOR EP KS 722800/- PAY TO YA  MIN HAN</t>
  </si>
  <si>
    <t>RV/MTC/WMC/2023/10/025</t>
  </si>
  <si>
    <t>BUDGET TRANSFER FROM HO FOR OCT BUDGET KS 6800000/-</t>
  </si>
  <si>
    <t>PV/MTC/WMC/2023/10/054</t>
  </si>
  <si>
    <t>CASH PAY FOR SECURITY DAILY WAGES OT CHGS KS 128000/-</t>
  </si>
  <si>
    <t>CASH PAY FOR SECURITY DAILY WAGES OT CHGS KS 128000/- PAY TO YA MIN HAN</t>
  </si>
  <si>
    <t>PV/MTC/WMC/2023/10/055</t>
  </si>
  <si>
    <t>Motorcycle Fuel chgs</t>
  </si>
  <si>
    <t>ADVANCE PAY FOR MDY CYCLE FUEL CHGS FOR MDY EMPLOYEE KS 750000/- FOR OCT 23</t>
  </si>
  <si>
    <t>ADVANCE PAY FOR MDY CYCLE FUEL CHGS FOR MDY EMPLOYEE KS 750000/- FOR OCT 23 PAY TO YA MIN HNA</t>
  </si>
  <si>
    <t>RV/MTC/WMC/2023/10/026</t>
  </si>
  <si>
    <t>LICENSE EXTENSION EXPENSES</t>
  </si>
  <si>
    <t>ADVANCE CLEAR FOR LICENSE EXTENSION CHGS FOR 6H/1209 KS 250000/-</t>
  </si>
  <si>
    <t>ADVANCE CLEAR FOR LICENSE EXTENSION CHGS FOR 6H/1209 KS 250000/- ADV PV/MTC/WMC/2023/09/010 EXP 190000/- REF 60000/-</t>
  </si>
  <si>
    <t>RV/MTC/WMC/2023/10/027</t>
  </si>
  <si>
    <t>ADVANCE CLEAR FOR DELL LAPTOP REPAIR CHGS KS 100000/-</t>
  </si>
  <si>
    <t>ADVANCE CLEAR FOR DELL LAPTOP REPAIR CHGS KS 100000/- ADV PV/MTC/WMC/2023/09/063 EXP 75000/- REF 25000/-</t>
  </si>
  <si>
    <t>RV/MTC/WMC/2023/10/028</t>
  </si>
  <si>
    <t>RV/MTC/WMC/2023/10/029</t>
  </si>
  <si>
    <t>RECEIVED FROM CUSTOMER FOR SPART CHGS KS 15400/-</t>
  </si>
  <si>
    <t>RV/MTC/WMC/2023/10/030</t>
  </si>
  <si>
    <t>BUDGET TRANSFER FROM HO FOR NINJA FUEL TANK KS 20000000/-</t>
  </si>
  <si>
    <t>PV/MTC/WMC/2023/10/056</t>
  </si>
  <si>
    <t>Spare Part Income</t>
  </si>
  <si>
    <t>Min Zaw Htun,U (Customer)</t>
  </si>
  <si>
    <t>RECEIVED FROM CUSTOMER FOR SPART CHGS KS 15400/- FOR SPIV/BMC/UMG-HO/N3W/2023/10/004 KS 15400/-</t>
  </si>
  <si>
    <t>RECEIVED FROM CUSTOMER FOR SPART CHGS KS 24500</t>
  </si>
  <si>
    <t>RECEIVED FROM CUSTOMER FOR SPART CHGS KS 24500/- FOR SPIV/BMC/UMG-HO/N3W/2023/10/005 KS 24500/-</t>
  </si>
  <si>
    <t>ADVANCE PAY FOR NINJA FUEL TANK KS 2000000/- WILL INCOME BY CUSTOMER</t>
  </si>
  <si>
    <t>PV/MTC/WMC/2023/10/057</t>
  </si>
  <si>
    <t>CASH PAY FOR TA CHGS FOR KO KHIANG BWAR TO MGK KS 100000/-</t>
  </si>
  <si>
    <t>CASH PAY FOR TA CHGS FOR KO KHIANG BWAR TO MGK KS 100000/- PAY TO THIRI SOE</t>
  </si>
  <si>
    <t>PV/MTC/WMC/2023/10/058</t>
  </si>
  <si>
    <t>CASH PAY FOR TA CHGS FOR YE MIN PHYO MTL TRIP KS 392500/-</t>
  </si>
  <si>
    <t>CASH PAY FOR TA CHGS FOR YE MIN PHYO MTL TRIP KS 392500/- PAY TO THIRI SOE</t>
  </si>
  <si>
    <t>PV/MTC/WMC/2023/10/059</t>
  </si>
  <si>
    <t>CASH PAY FOR TA CHGS FOR MUB , PYAY AND GBK NNT AND YYA KS 237200/-</t>
  </si>
  <si>
    <t>CASH PAY FOR TA CHGS FOR MUB , PYAY AND GBK NNT AND YYA KS 237200/- PAY TO THIRI SOE</t>
  </si>
  <si>
    <t>PV/MTC/WMC/2023/10/060</t>
  </si>
  <si>
    <t>CASH PAY FOR TA CHGS FOR GM PSM AND YMP TO NPT TRIP KS 222000/-</t>
  </si>
  <si>
    <t>CASH PAY FOR TA CHGS FOR GM PSM AND YMP TO NPT TRIP KS 222000/- PAY TO THIRI SOE</t>
  </si>
  <si>
    <t>PV/MTC/WMC/2023/10/061</t>
  </si>
  <si>
    <t>CASH PAY FOR TA CHGS FOR PSM SEP MTL, NPT KS 449500/-</t>
  </si>
  <si>
    <t>CASH PAY FOR TA CHGS FOR PSM SEP MTL, NPT KS 449500/-  PAY TO THIRI SOE</t>
  </si>
  <si>
    <t>RV/MTC/WMC/2023/10/031</t>
  </si>
  <si>
    <t>ADVANCE CLEAR FOR TRANSPOTAION CHGS FROM YGN TO MUB KS 500000/-</t>
  </si>
  <si>
    <t>ADVANCE CLEAR FOR TRANSPOTAION CHGS FROM YGN TO MUB KS 500000/- ADV PV/MTC/WMC/2023/09/052 EXP 0/- REF 500000/-</t>
  </si>
  <si>
    <t>RV/MTC/WMC/2023/10/032</t>
  </si>
  <si>
    <t>ADVANCE CLEAR FOR TRANSPOTAON CHGS FROM YGN TO KLN KS 500000/-</t>
  </si>
  <si>
    <t>ADVANCE CLEAR FOR TRANSPOTAON CHGS FROM YGN TO KLN KS 500000/- ADV PV/MTC/WMC/2023/09/051 EXP 0/- REF 500000/-</t>
  </si>
  <si>
    <t>RV/MTC/WMC/2023/10/033</t>
  </si>
  <si>
    <t>ADVANCE CLEAR FOR TA CHGS FOR HTET ARKAR AND KO KHAING BWAR KS 400000/-</t>
  </si>
  <si>
    <t>ADVANCE CLEAR FOR TA CHGS FOR HTET ARKAR AND KO KHAING BWAR KS 400000/- ADV PV/MTC/WMC/2023/09/013 EXP 174500/- REF 225500/-</t>
  </si>
  <si>
    <t>RV/MTC/WMC/2023/10/034</t>
  </si>
  <si>
    <t>PV/MTC/WMC/2023/10/062</t>
  </si>
  <si>
    <t>Fin#Other Income</t>
  </si>
  <si>
    <t>KYI KYI LWIN,DAW (DAW PAUK GYI)</t>
  </si>
  <si>
    <t>RECEIVED FROM CUSTOMER FOR FINE CHGS FOR 17 DAYS KS 34000/-</t>
  </si>
  <si>
    <t>RECEIVED FROM CUSTOMER FOR FINE CHGS FOR 17 DAYS KS 34000/- FOR 5% 60000KS KS 34000/- PAID BY CUSTOMER</t>
  </si>
  <si>
    <t>CASH PAY FOR DELL BATTERY CHGS KS 75000/-</t>
  </si>
  <si>
    <t>CASH PAY FOR DELL BATTERY CHGS KS 75000/- PAY TO THIRI SOE</t>
  </si>
  <si>
    <t>PV/MTC/WMC/2023/10/063</t>
  </si>
  <si>
    <t>CASH PAY FOR PERCEL DELIVERY CHGS FROM YGN TO MDY KS 4000/- LEGAL CASE</t>
  </si>
  <si>
    <t>CASH PAY FOR PERCEL DELIVERY CHGS FROM YGN TO MDY KS 4000/- LEGAL CASE PAY TO THIRI SOE</t>
  </si>
  <si>
    <t>PV/MTC/WMC/2023/10/064</t>
  </si>
  <si>
    <t>CASH PAY FOR UD TO TGO SPIN RED FROM GBK TO MDY KS 340000/-</t>
  </si>
  <si>
    <t>CASH PAY FOR UD TO TGO SPIN RED FROM GBK TO MDY KS 340000/- PAY TO THIRI SOE</t>
  </si>
  <si>
    <t>PV/MTC/WMC/2023/10/065</t>
  </si>
  <si>
    <t>CASH PAY FOR KLN OPERATION  TOTAL KS 48000/-</t>
  </si>
  <si>
    <t>CASH PAY FOR KLN OPERATION GATE PASS KS 35000/- PARKING 3000/-, LICENSE DELIVERY CHGS KS 10000/- TOTAL KS 48000/- PAY TO THIRI SOE</t>
  </si>
  <si>
    <t>PV/MTC/WMC/2023/10/066</t>
  </si>
  <si>
    <t>ADVANCE PAY FOR KAWASAKI TYRE PURCHASE REQUEST CHGS KS 200000/-</t>
  </si>
  <si>
    <t>ADVANCE PAY FOR KAWASAKI TYRE PURCHASE REQUEST CHGS KS 200000/- PAY TO AYE THNDAR HTWE</t>
  </si>
  <si>
    <t>PV/MTC/WMC/2023/10/067</t>
  </si>
  <si>
    <t>Adm#Car Repair &amp; Maintenance Charges</t>
  </si>
  <si>
    <t>CASH PAY FOR 3D/3856 CAR DOOR REPAIR CHGS KS 120000/-</t>
  </si>
  <si>
    <t>CASH PAY FOR 3D/3856 CAR DOOR REPAIR CHGS KS 120000/- PAY TO AYE THDNAR HTWE</t>
  </si>
  <si>
    <t>RV/MTC/WMC/2023/10/035</t>
  </si>
  <si>
    <t>ADVANCE CLEAR FOR MGK TO MDY TRANSPOTAION CHGS KS 500000/-</t>
  </si>
  <si>
    <t>ADVANCE CLEAR FOR MGK TO MDY TRANSPOTAION CHGS KS 500000/- ADV PV/MTC/WMC/2023/09/050 EXP 0/- REF 500000/-</t>
  </si>
  <si>
    <t>RV/MTC/WMC/2023/10/036</t>
  </si>
  <si>
    <t>ADVANCE CLEAR FOR TGO BILLBOARD INSTALLAION CHGS KS 2130000/-</t>
  </si>
  <si>
    <t>ADVANCE CLEAR FOR TGO BILLBOARD INSTALLAION CHGS KS 2130000/- ADV PV/MTC/WMC/2023/09/020 EXP 2103600/- REF 26400/-</t>
  </si>
  <si>
    <t>fine</t>
  </si>
  <si>
    <t>PV/MTC/WMC/2023/10/068</t>
  </si>
  <si>
    <t>ENTERTABLE CHGS</t>
  </si>
  <si>
    <t>Khin Yadanar Htun , Daw</t>
  </si>
  <si>
    <t>CASH PAY FOR UNDERTABLE CHGS FOR LEGAL CASE DAW NILAR AUNG KS 20000/-</t>
  </si>
  <si>
    <t>CASH PAY FOR UNDERTABLE CHGS FOR LEGAL CASE DAW NILAR AUNG KS 20000/- ;PAY TO KHIN YADANAR HTUN</t>
  </si>
  <si>
    <t>RV/MTC/WMC/2023/10/037</t>
  </si>
  <si>
    <t>ADVANCE CLEAR FOR SHOWROOM LICENSE EXTENSION CHGS KS 500000/-</t>
  </si>
  <si>
    <t>ADVANCE CLEAR FOR SHOWROOM LICENSE EXTENSION CHGS KS 500000/- ADV PV/MTC/WMC/2023/09/070 EXP 435000/-REF 65000/-</t>
  </si>
  <si>
    <t>RV/MTC/WMC/2023/10/038</t>
  </si>
  <si>
    <t>Thet Oo,U(Customer)</t>
  </si>
  <si>
    <t>RECEIVED FROM CUSTOMER FOR SPART CHGS KS 75300/-</t>
  </si>
  <si>
    <t>RECEIVED FROM CUSTOMER FOR SPART CHGS KS 75300/- FOR SPIV/BMC/UMG-HO/3W/2023/10/014 KS 75300/-</t>
  </si>
  <si>
    <t>RV/MTC/WMC/2023/10/039</t>
  </si>
  <si>
    <t>San Win,U</t>
  </si>
  <si>
    <t>RECEIVED FROM CUSTOMER FOR SERVICE CHGS KS 5000/- FOR SEVI/BMC/UMG-HO/2023/10/009 KS 5000/-</t>
  </si>
  <si>
    <t>PV/MTC/WMC/2023/10/069</t>
  </si>
  <si>
    <t>CASH PAY FOR KO KHAING BWAR CYCLE FUEL CHGS FOR OCT 23 KS 15000/-</t>
  </si>
  <si>
    <t>CASH PAY FOR KO KHAING BWAR CYCLE FUEL CHGS FOR OCT 23 KS 15000/- PAY TO THIRI SOE</t>
  </si>
  <si>
    <t>PV/MTC/WMC/2023/10/070</t>
  </si>
  <si>
    <t>ADVANCE PAY FOR MARKETING OPERATION CHGS FOR OCT 23 KS 100000/-</t>
  </si>
  <si>
    <t>ADVANCE PAY FOR MARKETING OPERATION CHGS FOR OCT 23 KS 100000/- PAY TO ZIN ZIN MU</t>
  </si>
  <si>
    <t>PV/MTC/WMC/2023/10/071</t>
  </si>
  <si>
    <t>Spare part cost</t>
  </si>
  <si>
    <t>ADVANCE PAY FOR SPART SPO/MC/2023/10/002 AND 003 KS 417500/-</t>
  </si>
  <si>
    <t>ADVANCE PAY FOR SPART SPO/MC/2023/10/002 AND 003 KS 417500/- PAY TO AYE THDAR HTWE</t>
  </si>
  <si>
    <t>PV/MTC/WMC/2023/10/072</t>
  </si>
  <si>
    <t>ADVANCE PAY FOR TRANSPOTAION CHGS FROM MKN TO MDY KS 500000/- SELENA 7U</t>
  </si>
  <si>
    <t>ADVANCE PAY FOR TRANSPOTAION CHGS FROM MKN TO MDY KS 500000/- SELENA 7U PAY TO THIRI SOIE</t>
  </si>
  <si>
    <t>PV/MTC/WMC/2023/10/073</t>
  </si>
  <si>
    <t>ADVANCE PAY FOR MYK TO YGN DAMON YGN TO TGO KS 500000/-</t>
  </si>
  <si>
    <t>ADVANCE PAY FOR MYK TO YGN DAMON YGN TO TGO KS 500000/- PAY TO THIRI SOE</t>
  </si>
  <si>
    <t>PV/MTC/WMC/2023/10/074</t>
  </si>
  <si>
    <t>ADVANCE CLEAR FOR SELENA AND SPIN REPAIR CHGS KS 500000/-</t>
  </si>
  <si>
    <t>ADVANCE CLEAR FOR SELENA AND SPIN REPAIR CHGS KS 500000/- ADV PV/MTC/WMC/2023/09/077 EXP 525100/- ADD 25100/-</t>
  </si>
  <si>
    <t>PV/MTC/WMC/2023/10/075</t>
  </si>
  <si>
    <t>ADVANCE CLEAR FOR CAR FUEL CHGS CAR 2U KS 180000/-</t>
  </si>
  <si>
    <t>ADVANCE CLEAR FOR CAR FUEL CHGS CAR 2U KS 180000/- ADV PV/MTC/WMC/2023/09/048 EXP 230000/- ADD 50000/-</t>
  </si>
  <si>
    <t>PV/MTC/WMC/2023/10/076</t>
  </si>
  <si>
    <t>CASH PAY FOR TRANSPOTAION CHGS FOR SPART KS 26000/-</t>
  </si>
  <si>
    <t>CASH PAY FOR TRANSPOTAION CHGS FOR SPART KS 26000/- PAY TO AYE THDAR HTWE</t>
  </si>
  <si>
    <t>PV/MTC/WMC/2023/10/077</t>
  </si>
  <si>
    <t>CASH PAY FOR 3W AND UMG MOTOR TRANSFER TEST RUN  FUEL CHGS KS 56000/-</t>
  </si>
  <si>
    <t>CASH PAY FOR 3W AND UMG MOTOR TRANSFER TEST RUN  FUEL CHGS KS 56000/- PAY TO AYE THNDA R HTWE</t>
  </si>
  <si>
    <t>PV/MTC/WMC/2023/10/078</t>
  </si>
  <si>
    <t>CASH PAY FOR STAR 1U AND SPIN 1U REPAIR CHGS AT NPT KS 311700/-</t>
  </si>
  <si>
    <t>CASH PAY FOR STAR 1U AND SPIN 1U REPAIR CHGS AT NPT KS 311700/- PAY TO AYE THDANR HTWE</t>
  </si>
  <si>
    <t>PV/MTC/WMC/2023/10/079</t>
  </si>
  <si>
    <t>ADVANCE PAY FOR CAR FUEL CHGS FOR 2U 3D/3856 AND 5I/6222 FOR OCT 23 KS 180000/-</t>
  </si>
  <si>
    <t>ADVANCE PAY FOR CAR FUEL CHGS FOR 2U 3D/3856 AND 5I/6222 FOR OCT 23 KS 180000/- PAY TO AYE THANDAR HTWE</t>
  </si>
  <si>
    <t>RV/MTC/WMC/2023/10/040</t>
  </si>
  <si>
    <t>Thuzar, Daw</t>
  </si>
  <si>
    <t>RECEIVED FROM CUSTOMER FOR SPART CHGS KS 52200/-</t>
  </si>
  <si>
    <t>RECEIVED FROM CUSTOMER FOR SPART CHGS KS 52200/- FOR SPIV/BMC/UMG-HO/3W/2023/10/016 KS 52200/-</t>
  </si>
  <si>
    <t>RV/MTC/WMC/2023/10/041</t>
  </si>
  <si>
    <t>BUDGET TRANSFER FROM HO FOR OCT FINAL BUDGET KS 6000000/-</t>
  </si>
  <si>
    <t>BUDGET TRANSFER FROM HO FOR OCT FINAL BUDGET KS 6000000/- HQT-PV-2023-10-0640</t>
  </si>
  <si>
    <t>RV/MTC/WMC/2023/10/042</t>
  </si>
  <si>
    <t>ADVANCE CLEAR FOR RCJ COLOUR PAINTING CHGS KS 500000/-</t>
  </si>
  <si>
    <t>ADVANCE CLEAR FOR RCJ COLOUR PAINTING CHGS KS 500000/- ADV PV/MTC/WMC/2023/09/078 EXP 0/- REF 500000/-</t>
  </si>
  <si>
    <t>RV/MTC/WMC/2023/10/043</t>
  </si>
  <si>
    <t>ADVANCE CLEAR FOR SPIN COLOUR PAINTING CHGS KS 50000/-</t>
  </si>
  <si>
    <t>ADVANCE CLEAR FOR SPIN COLOUR PAINTING CHGS KS 50000/- ADV PV/MTC/WMC/2023/09/079 EXP 450000/- REF 50000/-</t>
  </si>
  <si>
    <t>RV/MTC/WMC/2023/10/044</t>
  </si>
  <si>
    <t>ADVANCE CLEAR FOR SPIN DAMON NEED PARTS CHGS KS 500000/-</t>
  </si>
  <si>
    <t>ADVANCE CLEAR FOR SPIN DAMON NEED PARTS CHGS KS 500000/-  ADV PV/MTC/WMC/2023/09/076 EXP 420000/- REF 80000/-</t>
  </si>
  <si>
    <t>PV/MTC/WMC/2023/10/080</t>
  </si>
  <si>
    <t>ADVANCE PAY FOR SPIN 1U REPAIR CHGS KS 500000/-</t>
  </si>
  <si>
    <t>ADVANCE PAY FOR SPIN 1U REPAIR CHGS KS 500000/- PAY TO AYE THDAR HTWE</t>
  </si>
  <si>
    <t>PV/MTC/WMC/2023/10/081</t>
  </si>
  <si>
    <t>ADVANCE PAY FOR ROYAL 1U COLOUR PAINTING CHGS KS 500000/-</t>
  </si>
  <si>
    <t>ADVANCE PAY FOR ROYAL 1U COLOUR PAINTING CHGS KS 500000/- PAY TO AYE THNDAR HTWE</t>
  </si>
  <si>
    <t>PV/MTC/WMC/2023/10/082</t>
  </si>
  <si>
    <t>ADVANCE PAY FOR RCJ 1U COLOUR PAINTING CHGS KS 500000/-</t>
  </si>
  <si>
    <t>ADVANCE PAY FOR RCJ 1U COLOUR PAINTING CHGS KS 500000/- PAY TO AYE THDAR HTWE</t>
  </si>
  <si>
    <t>PV/MTC/WMC/2023/10/083</t>
  </si>
  <si>
    <t>ADVANCE PAY FOR GOVERNER SHOE FOR SELENA REPAIR CHGS KS 500000/-</t>
  </si>
  <si>
    <t>ADVANCE PAY FOR GOVERNER SHOE FOR SELENA REPAIR CHGS KS 500000/- PAY TO AYE THNDFAR HTWE</t>
  </si>
  <si>
    <t>PV/MTC/WMC/2023/10/084</t>
  </si>
  <si>
    <t>ADVANCE PAY FOR GENERAL USE FOR SERVICE OPERAION KS 300000/-</t>
  </si>
  <si>
    <t>ADVANCE PAY FOR GENERAL USE FOR SERVICE OPERAION KS 300000/- PAY TO AYE THNDAR HTWE</t>
  </si>
  <si>
    <t>PV/MTC/WMC/2023/10/085</t>
  </si>
  <si>
    <t>ADVANCE PAY FOR 3W AND CYCLE TEST RUN FUEL CHGS KS 300000/-</t>
  </si>
  <si>
    <t>ADVANCE PAY FOR 3W AND CYCLE TEST RUN FUEL CHGS KS 300000/- PAY TO AYE THNDAR HTWE</t>
  </si>
  <si>
    <t>PV/MTC/WMC/2023/10/086</t>
  </si>
  <si>
    <t>ADVANCE PAY FOR DAMON 5U COLOUR PAINTING CHGS KS 750000/-</t>
  </si>
  <si>
    <t>ADVANCE PAY FOR DAMON 5U COLOUR PAINTING CHGS KS 750000/- PAY TO AYE THDNA RHTWE</t>
  </si>
  <si>
    <t>PV/MTC/WMC/2023/10/087</t>
  </si>
  <si>
    <t>ADVANCE PAY FOR TA CHGS FOR SERVUCE KS 300000/- DEPEND ON SERVICE</t>
  </si>
  <si>
    <t>ADVANCE PAY FOR TA CHGS FOR SERVUCE KS 300000/- DEPEND ON SERVICE  PAY TO AYE THNDAR HTWE</t>
  </si>
  <si>
    <t>PV/MTC/WMC/2023/10/088</t>
  </si>
  <si>
    <t>ADVANCE PAY FOR RCJ 1U PAINTING CHGS KS 500000/- FOR SECOND</t>
  </si>
  <si>
    <t>ADVANCE PAY FOR RCJ 1U PAINTING CHGS KS 500000/- FOR SECOND PAY TO ATDH</t>
  </si>
  <si>
    <t>RV/MTC/WMC/2023/10/045</t>
  </si>
  <si>
    <t xml:space="preserve">SOE NAING ,U </t>
  </si>
  <si>
    <t>RECEIVED FROM CUSTOMER FOR SERVICE CHGS KS 210000/-</t>
  </si>
  <si>
    <t>RECEIVED FROM CUSTOMER FOR SERVICE CHGS KS 210000/- FOR SEVI/BMC/UMG-HO/2023/10/010</t>
  </si>
  <si>
    <t xml:space="preserve">KPAY </t>
  </si>
  <si>
    <t>31.10.2023</t>
  </si>
  <si>
    <t>DAILY PV /RV TRANSACTIONS FOR (31.Oct.23)</t>
  </si>
  <si>
    <t>PV/MTC/WMC/2023/10/089</t>
  </si>
  <si>
    <t>MONEY TRANSFER TO CORP KS FOR SPART AND SERVICE CHGS KS TOTAL KS 484400/-</t>
  </si>
  <si>
    <t>MONEY TRANSFER TO CORP KS FOR SPART AND SERVICE CHGS KS TOTAL KS 484100/- HQT/RV/2023/10/0937</t>
  </si>
  <si>
    <t>RV/MTC/WMC/2023/10/046</t>
  </si>
  <si>
    <t>RECEIVED FROM CUSTOMER FOR SERVICE CHGS KS 10000/- FOR SEVI/BMC/UMG-HO/2023/10/012</t>
  </si>
  <si>
    <t>RV/MTC/WMC/2023/10/047</t>
  </si>
  <si>
    <t>MYO MIN HTUT,U</t>
  </si>
  <si>
    <t>RECEIVED FROM CUSTOMER FOR SERVICE CHGS KS 10000/- FOR SEVI/BMC/UMG-HO/2023/10/013 KS 10000/-</t>
  </si>
  <si>
    <t>RV/MTC/WMC/2023/10/048</t>
  </si>
  <si>
    <t>ZAW MYO THU,U</t>
  </si>
  <si>
    <t>RECEIVED FROM CUSTOMER FOR SERVICE CHGS KS 10000/- FOR SEVI/BMC/UMG-HO/2023/10/014 KS 10000/-</t>
  </si>
  <si>
    <t>RV/MTC/WMC/2023/10/049</t>
  </si>
  <si>
    <t>THAW ZIN OO,U</t>
  </si>
  <si>
    <t>RECEIVED FROM CUSTOMER FOR SPART CHGS KS 5200/-</t>
  </si>
  <si>
    <t>RECEIVED FROM CUSTOMER FOR SPART CHGS KS 5200/- FOR SPIV/BMC/UMG-HO/N3W/2023/10/006</t>
  </si>
  <si>
    <t>RV/MTC/WMC/2023/10/050</t>
  </si>
  <si>
    <t>RECEIVED FROM CUSTOMER FOR SPART CHGS KS 7500/-</t>
  </si>
  <si>
    <t>RECEIVED FROM CUSTOMER FOR SPART CHGS KS 7500/- FOR SPIV/BMC/UMG-HO/3W/2023/10/017</t>
  </si>
  <si>
    <t>PV/MTC/WMC/2023/09/002</t>
  </si>
  <si>
    <t>Adm#Taxi Charges</t>
  </si>
  <si>
    <t>CASH PAY FOR TAXI CHGS FOR SALE FROM UD TO MINDAMA KS 16000/-</t>
  </si>
  <si>
    <t>CASH PAY FOR TAXI CHGS FOR SALE FROM UD TO MINDAMA KS 16000/- PAY TO THET HTAR SAN</t>
  </si>
  <si>
    <t>RV/MTC/WMC/2023/09/002</t>
  </si>
  <si>
    <t>AUNG MYO NAING,U</t>
  </si>
  <si>
    <t>RECEIVED FROM CUSTOMER FOR SERVICE CHGS KS 4000/-</t>
  </si>
  <si>
    <t>RECEIVED FROM CUSTOMER FOR SERVICE CHGS KS 4000/- FOR SEVI/BMC/UMG-HO/2023/08/014 KS 4000/-</t>
  </si>
  <si>
    <t>PV/MTC/WMC/2023/09/004</t>
  </si>
  <si>
    <t>MONEY TRANSFER TO CORP CASH FOR UNIT AND SPART CHGS AND SERVICE CHGS KS 537800KS</t>
  </si>
  <si>
    <t>MONEY TRANSFER TO CORP CASH FOR UNIT AND SPART CHGS AND SERVICE CHGS KS 537800KS  HQT/RV/2023/09/0098 AND 0097</t>
  </si>
  <si>
    <t>PV/MTC/WMC/2023/09/005</t>
  </si>
  <si>
    <t>ADVANCE CLEAR FOR TRAMSPOTAION CHGS HPN AND MLM KS 500000/-</t>
  </si>
  <si>
    <t>ADVANCE CLEAR FOR TRAMSPOTAION CHGS HPN AND MLM KS 500000/- ADV PV/MTC/WMC/2023/08/026 EXP 750000/- ADD 250000/- CLEARD BY THIRI SOE</t>
  </si>
  <si>
    <t>RV/MTC/WMC/2023/09/004</t>
  </si>
  <si>
    <t>ADVANCE CLEAR FOR TA CHGS FOR BAGO SALE KS 287000/-</t>
  </si>
  <si>
    <t>ADVANCE CLEAR FOR TA CHGS FOR BAGO SALE KS 287000/- ADV PV/MTC/WMC/2023/07/063 EXP 161000/- REF 126000/- CLEARED BY THIRI SOE</t>
  </si>
  <si>
    <t>RV/MTC/WMC/2023/09/010</t>
  </si>
  <si>
    <t>BUDGET TRANSFER FROM HO FOR SALE INCENTIVE CHGS KS 36000/-</t>
  </si>
  <si>
    <t>PV/MTC/WMC/2023/09/012</t>
  </si>
  <si>
    <t>ADVANCE CELAR FOR MDY BILLBOARD INSTALLATION CHGS KS 400000/-</t>
  </si>
  <si>
    <t>ADVANCE CELAR FOR MDY BILLBOARD INSTALLATION CHGS KS 400000/- ADV PV/MTC/WMC/2023/08/029 EXP 877200/- ADD 477000/- CLEARED BY THIRI SOE</t>
  </si>
  <si>
    <t>PV/MTC/WMC/2023/09/013</t>
  </si>
  <si>
    <t>ADVANCE PAY FOR TA CHGS FOR KO KHAING BWAR AND HTET ARKAR KS 400000/-</t>
  </si>
  <si>
    <t>ADVANCE PAY FOR TA CHGS FOR KO KHAING BWAR AND HTET ARKAR KS 400000/- MGW, MIN BU, MLM, BGO, MLM,BGO KS 400000/- PAY TO THIRI SOE</t>
  </si>
  <si>
    <t>PV/MTC/WMC/2023/09/014</t>
  </si>
  <si>
    <t>ADVANCE PAY FOR YGN TO MDY TRANSPOTIAON CHGS KS 500000/-</t>
  </si>
  <si>
    <t>ADVANCE PAY FOR YGN TO MDY TRANSPOTIAON CHGS KS 500000/- PAY TO AYE THNDAR HTWE</t>
  </si>
  <si>
    <t>PV/MTC/WMC/2023/09/015</t>
  </si>
  <si>
    <t>ADVANCE PAY FOR TRANSPOTAION CHGS FROM YGN TO BAGO KS 500000/-</t>
  </si>
  <si>
    <t>ADVANCE PAY FOR TRANSPOTAION CHGS FROM YGN TO BAGO KS 500000/- PAY TO THIRI SOE</t>
  </si>
  <si>
    <t>PV/MTC/WMC/2023/09/016</t>
  </si>
  <si>
    <t>ADVANCE PAY FOR YGN TO NPT STAR 206 TRANSPOTAION CHGS KS 500000/-</t>
  </si>
  <si>
    <t>ADVANCE PAY FOR YGN TO NPT STAR 206 TRANSPOTAION CHGS KS 500000/- PAY TO THIRI SOE</t>
  </si>
  <si>
    <t>PV/MTC/WMC/2023/09/017</t>
  </si>
  <si>
    <t>ADVANCE PAY FOR YGN TO NYU ROYAL TRANSPOTIAON CHGS KS 500000/-</t>
  </si>
  <si>
    <t>ADVANCE PAY FOR YGN TO NYU ROYAL TRANSPOTIAON CHGS KS 500000/- PAY TO THIRI SOE</t>
  </si>
  <si>
    <t>PV/MTC/WMC/2023/09/018</t>
  </si>
  <si>
    <t>CASH PAY FOR CYCLE FUEL CHGS FOR KO KHAING BWAR KS 15000/-</t>
  </si>
  <si>
    <t>CASH PAY FOR CYCLE FUEL CHGS FOR KO KHAING BWAR KS 15000/- PAY TO THIRI SOE</t>
  </si>
  <si>
    <t>PV/MTC/WMC/2023/09/019</t>
  </si>
  <si>
    <t>MONEY TRANSFER TO CORP  FOR PART AND SERVICE CHGS KS 327650KS</t>
  </si>
  <si>
    <t>RV/MTC/WMC/2023/09/013</t>
  </si>
  <si>
    <t>BUDGET TRANSFER FROM HO FOR SEP FIRST TIME KS 5700000/-</t>
  </si>
  <si>
    <t>BUDGET TRANSFER FROM HO FOR SEP FIRST TIME KS 5700000/- HQT-PV-2023-09-0149</t>
  </si>
  <si>
    <t>RV/MTC/WMC/2023/09/014</t>
  </si>
  <si>
    <t>ADVANCE CLEAR FOR BILLBOARD INSTALLATION CHGS KS 400000/-</t>
  </si>
  <si>
    <t>ADVANCE CLEAR FOR BILLBOARD INSTALLATION CHGS KS 400000/- ADV PV/MTC/WMC/2023/08/028 EXP 0/- REF 400000/-</t>
  </si>
  <si>
    <t>RV/MTC/WMC/2023/09/015</t>
  </si>
  <si>
    <t>ADVANCE CLEAR FOR STW TO YGN TRANSPOTIAON CHGS ADV KS 500000/-</t>
  </si>
  <si>
    <t>ADVANCE CLEAR FOR STW TO YGN TRANSPOTIAON CHGS ADV KS 500000/- ADV PV/MTC/WMC/2023/08/027 EXP 0/- REF 500000/-</t>
  </si>
  <si>
    <t>RV/MTC/WMC/2023/09/016</t>
  </si>
  <si>
    <t>ADVANCE CLEAR FOR YGN TO HPN PYAY TRANSPOTAION CHGS KS 500000/-</t>
  </si>
  <si>
    <t>ADVANCE CLEAR FOR YGN  TO HPN PYAY  TRANSPOTAION CHGS KS 500000/- ADV PV/MTC/WMC/2023/08/024  EXP 200000/- REF 300000/-</t>
  </si>
  <si>
    <t>PV/MTC/WMC/2023/09/020</t>
  </si>
  <si>
    <t>ADVANCE PAY FOR TGO BILLBOARD INSTALLATION CHGS KS 2130000/-</t>
  </si>
  <si>
    <t>ADVANCE  PAY FOR TGO BILLBOARD INSTALLATION CHGS KS 2130000/- PAY TO THIRI SOE</t>
  </si>
  <si>
    <t>PV/MTC/WMC/2023/09/022</t>
  </si>
  <si>
    <t>ADVANCE CLEAR FOR CAR FUEL CHSG FOR 4D/8341 AUGUST KS 80000/-</t>
  </si>
  <si>
    <t>ADVANCE CLEAR FOR CAR FUEL CHSG FOR 4D/8341 AUGUST KS 80000/- ADV PV/MTC/WMC/2023/08/043 EXP 150000/- ADD 70000/- CLEARED BY THS</t>
  </si>
  <si>
    <t>PV/MTC/WMC/2023/09/024</t>
  </si>
  <si>
    <t>ADVANCE PAY FOR CAR FUEL CHGS FOR 4D/8341 FOR SEP 23 KS 80000/-</t>
  </si>
  <si>
    <t>ADVANCE PAY FOR CAR FUEL CHGS FOR 4D/8341 FOR SEP 23 KS 80000/- PAY TO THET HTAR SAN</t>
  </si>
  <si>
    <t>PV/MTC/WMC/2023/09/025</t>
  </si>
  <si>
    <t>CASH PAY FOR KO KHIANG BWAR TA CHGS FOR SBO TRIP KS 59000/-</t>
  </si>
  <si>
    <t>CASH PAY FOR KO KHIANG BWAR TA CHGS FOR SBO TRIP KS 59000/- PAY TO THIRI SOE</t>
  </si>
  <si>
    <t>RV/MTC/WMC/2023/09/017</t>
  </si>
  <si>
    <t>U NAING (CUSTOMER)</t>
  </si>
  <si>
    <t>RECEIVED FROM CUSTOMER FOR SERVICE CHGS KS 5000/- FOR SEVI/BMC/UMG-HO/2023/09/003</t>
  </si>
  <si>
    <t>PV/MTC/WMC/2023/09/028</t>
  </si>
  <si>
    <t>ADVANCE CLEAR FOR HELMAT CHGS FOR MARKETING KS 297000/-</t>
  </si>
  <si>
    <t>ADVANCE CLEAR FOR HELMAT CHGS FOR MARKETING KS 297000/- ADV PV/MTC/WMC/2023/08/060 EXP 353000/- ADD 56000/- CLARED BY THIRI SOE</t>
  </si>
  <si>
    <t>PV/MTC/WMC/2023/09/029</t>
  </si>
  <si>
    <t>CASH PAY FOR TA CHGS FOR PYAE SONE MIN BAGO TRIP KS 83000/-</t>
  </si>
  <si>
    <t>CASH PAY FOR TA CHGS FOR PYAE SONE MIN BAGO TRIP KS 83000/- PAY TO THIRI SOE</t>
  </si>
  <si>
    <t>PV/MTC/WMC/2023/09/030</t>
  </si>
  <si>
    <t>CASH PAY FOR MARKETING FUEL CHGS FOR WAY AUG AND SEP KS 30000/-</t>
  </si>
  <si>
    <t>CASH PAY FOR MARKETING FUEL CHGS FOR WAY AUG AND SEP KS 30000/- PAY TO THIRI SOE</t>
  </si>
  <si>
    <t>PV/MTC/WMC/2023/09/031</t>
  </si>
  <si>
    <t>ADVANCE PAY FOR YGN TO GBK YGN TO TGO STAR AND SELENA TRANSPOTATION CHGS KS 500000/-</t>
  </si>
  <si>
    <t>ADVANCE PAY FOR YGN TO GBK YGN TO TGO STAR AND SELENA TRANSPOTATION CHGS KS 500000/- PAY TO THIRI SOE</t>
  </si>
  <si>
    <t>PV/MTC/WMC/2023/09/032</t>
  </si>
  <si>
    <t>ADVANCE PAY FOR YGN TO NLP SPIN AND ROYAL REPOCESS KS 500000/-</t>
  </si>
  <si>
    <t>ADVANCE PAY FOR YGN TO NLP SPIN AND ROYAL REPOCESS KS 500000/- PAY TO THIRI SOE</t>
  </si>
  <si>
    <t>RV/MTC/WMC/2023/09/021</t>
  </si>
  <si>
    <t>ADVANCE CLEAR FOR TRANSPOTAION CHGS KS 500000/- ADV PV/MTC/WMC/2023/08/025 EXP 405000/- REF 95000/- SPIN 8168</t>
  </si>
  <si>
    <t>RV/MTC/WMC/2023/09/022</t>
  </si>
  <si>
    <t>ADVANCE CLEAR FOR TA CHGS FOR MTK KO KHIANG BWAR KS 500000/-</t>
  </si>
  <si>
    <t>ADVANCE CLEAR FOR TA CHGS FOR MTK KO KHIANG BWAR KS 500000/- ADV PV/MTC/WMC/2023/08/034 EXP 0/- REF 500000/-</t>
  </si>
  <si>
    <t>RV/MTC/WMC/2023/09/023</t>
  </si>
  <si>
    <t>ADVANCE CLEAR FOR TA CGS FOR HTET ARKAR KS 500000/-</t>
  </si>
  <si>
    <t>ADVANCE CLEAR FOR TA CGS FOR HTET ARKAR KS 500000/-  ADV PV/MTC/WMC/2023/08/033EXP 0/- REF 500000/-</t>
  </si>
  <si>
    <t>RV/MTC/WMC/2023/09/024</t>
  </si>
  <si>
    <t>ADVANCE CLEAR FOR A BANK STICKER CHGS KS 100000/-</t>
  </si>
  <si>
    <t>ADVANCE CLEAR FOR A BANK STICKER CHGS KS 100000/- ADV PV/MTC/WMC/2023/08/061 EXP 70000/- REF 30000/-</t>
  </si>
  <si>
    <t>RV/MTC/WMC/2023/09/025</t>
  </si>
  <si>
    <t>MAUNG ZAW,U (CUSTOMER)</t>
  </si>
  <si>
    <t>RECEIVED FROM CUSTOMER FOR UNIT CHGS KS 1000000/-</t>
  </si>
  <si>
    <t>RECEIVED FROM CUSTOMER FOR UNIT CHGS KS 1000000/- FOR SPIN 1UNIT MACHINE PRICE 6300000KS DEPOSIT 1000000KS PAID BY CUSTOMER</t>
  </si>
  <si>
    <t>RV/MTC/WMC/2023/09/026</t>
  </si>
  <si>
    <t>ADVANCE CLEAR FOR CITY REPAIR CHGS KS 500000/-</t>
  </si>
  <si>
    <t>ADVANCE CLEAR FOR CITY REPAIR CHGS KS 500000/- ADV PV/MTC/WMC/2023/08/056 EXP 483000/- REF 17000/-</t>
  </si>
  <si>
    <t>RV/MTC/WMC/2023/09/027</t>
  </si>
  <si>
    <t>ADVANCE CLEAR FOR SPIN AND KW REPAIR CHGS KS 500000/-</t>
  </si>
  <si>
    <t>ADVANCE CLEAR FOR SPIN AND KW REPAIR CHGS KS 500000/- ADV PV/MTC/WMC/2023/08/055 EXP 406500/- REF 93500/-</t>
  </si>
  <si>
    <t>RV/MTC/WMC/2023/09/028</t>
  </si>
  <si>
    <t>ADVANCE CLEAR FOR SPIN COLOUR PAINTING CHGS KS 500000/-</t>
  </si>
  <si>
    <t>ADVANCE CLEAR FOR SPIN COLOUR PAINTING CHGS KS 500000/- ADV PV/MTC/WMC/2023/08/031 EXP 495000/- REF 5000/-</t>
  </si>
  <si>
    <t>RV/MTC/WMC/2023/09/029</t>
  </si>
  <si>
    <t>ADVANCE CLEAR FOR ROYALCOLOUR PAINTING CHGS KS 250000/-</t>
  </si>
  <si>
    <t>ADVANCE CLEAR FOR ROYALCOLOUR PAINTING CHGS KS 250000/- ADV PV/MTC/WMC/2023/08/058 EXP 176000/- REF 74000/-</t>
  </si>
  <si>
    <t>RV/MTC/WMC/2023/09/030</t>
  </si>
  <si>
    <t>ADVANCE CLEAR FOR SUPER COLOUR PAINITNG CHGS KS 500000/-</t>
  </si>
  <si>
    <t>ADVANCE CLEAR FOR SUPER COLOUR PAINITNG CHGS KS 500000/- ADV PV/MTC/WMC/2023/08/032 EXP 470000/- REF 30000/-</t>
  </si>
  <si>
    <t>RV/MTC/WMC/2023/09/031</t>
  </si>
  <si>
    <t>ADVANCE CLEAR FOR CITY AND CLITZ COLOUR PAINTING CHGS KS 300000/-</t>
  </si>
  <si>
    <t>ADVANCE CLEAR FOR CITY AND CLITZ COLOUR PAINTING CHGS KS 300000/- ADV PV/MTC/WMC/2023/08/057 EXDP 258100/- REF 41900/-</t>
  </si>
  <si>
    <t>PV/MTC/WMC/2023/09/040</t>
  </si>
  <si>
    <t>MONEY TRANSFER TO CORP FOR CUSTOMER FOR UNIT CHGS KS 1000000/- FOR SPIN 1UNIT DEPOSIT 1000000KS</t>
  </si>
  <si>
    <t>MONEY TRANSFER TO CORP FOR CUSTOMER FOR UNIT CHGS KS 1000000/- FOR SPIN 1UNIT MACHINE PRICE 6300000KS DEPOSIT 1000000KS PAID BY CUSTOMER U MAUNG ZAW HQT/RV/2023/09/0460</t>
  </si>
  <si>
    <t>RV/MTC/WMC/2023/09/032</t>
  </si>
  <si>
    <t>BUDGET TRANSFER FROM HO FOR SEP BUDGET 23 KS 1000000KS</t>
  </si>
  <si>
    <t>BUDGET TRANSFER FROM HO FOR SEP BUDGET 23 KS 1000000KS HQT-PV-2023-09-0347</t>
  </si>
  <si>
    <t>PV/MTC/WMC/2023/09/043</t>
  </si>
  <si>
    <t>CASH PAY FOR METERBILL CHGS FOR AUGUST 23 KS 710800/-</t>
  </si>
  <si>
    <t>CASH PAY FOR METERBILL CHGS FOR AUGUST 23 KS 710800/-  PAY TO YA MIN HAN</t>
  </si>
  <si>
    <t>PV/MTC/WMC/2023/09/044</t>
  </si>
  <si>
    <t>CASH PAY FOR LEATHER BUYING CHGS FOR SEWING SOFA KS 222000/-</t>
  </si>
  <si>
    <t>CASH PAY FOR LEATHER BUYING CHGS FOR SEWING SOFA KS 222000/- PAY TO AYE THNDAR HTWE</t>
  </si>
  <si>
    <t>PV/MTC/WMC/2023/09/045</t>
  </si>
  <si>
    <t>ADVANCE PAY FOR UMG MOTOR AND 3W ASSEMBLY NEEDS PARTS CHGS KS 500000/-</t>
  </si>
  <si>
    <t>ADVANCE PAY FOR UMG MOTOR AND 3W ASSEMBLY NEEDS PARTS CHGS KS 500000/- PAY TO AYE THDNAR HTWE</t>
  </si>
  <si>
    <t>PV/MTC/WMC/2023/09/046</t>
  </si>
  <si>
    <t>ADVANCE PAY FOR CITY 1U REPAIR AND NEED PARTS CHGS KS 300000/-</t>
  </si>
  <si>
    <t>ADVANCE PAY FOR CITY 1U REPAIR AND NEED PARTS CHGS KS 300000/- PAY TO AYE THDNAR HTWE</t>
  </si>
  <si>
    <t>PV/MTC/WMC/2023/09/047</t>
  </si>
  <si>
    <t>ADVANCE PAY FOR OT CHGS FOR SERVICE CHGS KS 100000/-</t>
  </si>
  <si>
    <t>ADVANCE PAY FOR OT CHGS FOR SERVICE CHGS KS 100000/- PAY TO AYE THDNAR HTWE</t>
  </si>
  <si>
    <t>PV/MTC/WMC/2023/09/048</t>
  </si>
  <si>
    <t>ADVANCE PAY FOR CAR FUEL CHGS FOR 3D/3856 AND 5I/6222 KS 180000/-</t>
  </si>
  <si>
    <t>ADVANCE PAY FOR CAR FUEL CHGS FOR 3D/3856 AND 5I/6222 KS 180000/- PAY TO AYE THANDAR HTWE</t>
  </si>
  <si>
    <t>PV/MTC/WMC/2023/09/049</t>
  </si>
  <si>
    <t>ADVANCE PAY FOR KEY CHAIN CHGS FOR MARKETING KS 400000/-</t>
  </si>
  <si>
    <t>ADVANCE PAY FOR KEY CHAIN CHGS FOR MARKETING KS 400000/- PAY TO THIRI SOE</t>
  </si>
  <si>
    <t>PV/MTC/WMC/2023/09/050</t>
  </si>
  <si>
    <t>ADVANCE PAY FOR TRANSPOTAION CHGS FROM MGK TO MDY KS 500000/-</t>
  </si>
  <si>
    <t>ADVANCE PAY FOR TRANSPOTAION CHGS FROM MGK TO MDY KS 500000/- PAY TO THIRI SOE</t>
  </si>
  <si>
    <t>PV/MTC/WMC/2023/09/051</t>
  </si>
  <si>
    <t>ADVANCE PAY FOR TRANSPOTAION CHGS FROM YGN TO KLN KS 500000/-</t>
  </si>
  <si>
    <t>ADVANCE PAY FOR TRANSPOTAION CHGS FROM YGN TO KLN KS 500000/- PAY TO THIRI SOE</t>
  </si>
  <si>
    <t>PV/MTC/WMC/2023/09/052</t>
  </si>
  <si>
    <t>ADVANCE PAY FOR TRANSPOTAION CHGS FROM YGN TO MUB AND YGN TO NPT KS 500000/-</t>
  </si>
  <si>
    <t>ADVANCE PAY FOR TRANSPOTAION CHGS FROM YGN TO MUB AND YGN TO NPT KS 500000/- PAY TO THIRI SOE</t>
  </si>
  <si>
    <t>PV/MTC/WMC/2023/09/053</t>
  </si>
  <si>
    <t>MONEY TRANSFER TO CORP FOR SERVICE CHGS KS 41000/-</t>
  </si>
  <si>
    <t>MONEY TRANSFER TO CORP FOR SERVICE CHGS KS 41000/- HQT/RV/2023/09/0511</t>
  </si>
  <si>
    <t>PV/MTC/WMC/2023/09/054</t>
  </si>
  <si>
    <t>CASH PAY FOR U NYI NYI ZAW STW DL DEPOSIT CASH BANK TRANSFER CHGS KS 1850/-</t>
  </si>
  <si>
    <t>CASH PAY FOR U NYI NYI ZAW STW DL DEPOSIT CASH BANK TRANSFER CHGS KS 1850/- PAY TO THIRI SOE</t>
  </si>
  <si>
    <t>RV/MTC/WMC/2023/09/033</t>
  </si>
  <si>
    <t>BUDGET TRANSFER FROM HO FOR SEP 23 BUGDET KS 8000000/-</t>
  </si>
  <si>
    <t>BUDGET TRANSFER FROM HO FOR SEP 23 BUGDET KS 8000000/- HQT-PV-2023-09-0363</t>
  </si>
  <si>
    <t>PV/MTC/WMC/2023/09/055</t>
  </si>
  <si>
    <t>ADVANCE CLEAR FOR SPIN 5U BODY REPAIR AND PAINTING CHGS KS 1250000/-</t>
  </si>
  <si>
    <t>ADVANCE CLEAR FOR SPIN 5U BODY REPAIR AND PAINTING CHGS KS 1250000/- ADV PV/MTC/WMC/2023/07/078 EXP 1460000/- ADD 210000/-</t>
  </si>
  <si>
    <t>PV/MTC/WMC/2023/09/056</t>
  </si>
  <si>
    <t>CASH PAY FOR 3D/3856 CAR EXHAUST REPAIR KS 35000/-</t>
  </si>
  <si>
    <t>CASH PAY FOR 3D/3856 CAR EXHAUST REPAIR KS 35000/- PAY TO AYE THANDAR HTWE</t>
  </si>
  <si>
    <t>PV/MTC/WMC/2023/09/057</t>
  </si>
  <si>
    <t>ADVANCE PAY FOR CITY 693746, SPIN 657647 AND SPIN 449532 REPAIR CHGS KS 900000/-</t>
  </si>
  <si>
    <t>ADVANCE PAY FOR CITY 693746, SPIN 657647 AND SPIN 449532 REPAIR CHGS KS 900000/- PAY TO AYE THANDAR HTWE</t>
  </si>
  <si>
    <t>PV/MTC/WMC/2023/09/058</t>
  </si>
  <si>
    <t>ADVANCE PAY FOR CITY STEM 6PCS AND BLITZ FRONT ALLOY FRONT HUTSHOE SMALL KS 1000000/-</t>
  </si>
  <si>
    <t>ADVANCE PAY FOR CITY STEM 6PCS AND BLITZ FRONT ALLOY FRONT HUTSHOE SMALL KS 1000000/- PAY TO AYE THANDAR HTWE</t>
  </si>
  <si>
    <t>PV/MTC/WMC/2023/09/059</t>
  </si>
  <si>
    <t>ADVANCE PAY FOR SELENA 9U AND DAMON 1U REPAIR CHGS KS 1300000/-</t>
  </si>
  <si>
    <t>ADVANCE PAY FOR SELENA 9U AND DAMON 1U REPAIR CHGS KS 1300000/- AS00424,AS00294,AS00233,AS00178, AS00295, AS00296,AS00297,AS00154,AS00166, AS00151 KS 1300000/- PAY TO AYE THNDAR HTWE</t>
  </si>
  <si>
    <t>PV/MTC/WMC/2023/09/060</t>
  </si>
  <si>
    <t>ADVANCE PAY FOR SPIN 449532 REPAIR CHGS KS 600000/-</t>
  </si>
  <si>
    <t>ADVANCE PAY FOR SPIN 449532 REPAIR CHGS KS 600000/- PAY TO AYE THANDAR HTWE</t>
  </si>
  <si>
    <t>PV/MTC/WMC/2023/09/061</t>
  </si>
  <si>
    <t>ADVANCE PAY FOR STAR 1U BODY PAINTING CHGS 21DO206 KS 1000000/-</t>
  </si>
  <si>
    <t>ADVANCE PAY FOR STAR 1U BODY PAINTING CHGS 21DO206 KS 1000000/- PAY TO AYE THNDAR HTWE</t>
  </si>
  <si>
    <t>PV/MTC/WMC/2023/09/062</t>
  </si>
  <si>
    <t>CASH PAY FOR MGL LETTER DELIVERY CHGS FOR SALE KS 2700/-</t>
  </si>
  <si>
    <t>CASH PAY FOR MGL LETTER DELIVERY CHGS FOR SALE KS 2700/- PAY TO THIRI SOE</t>
  </si>
  <si>
    <t>PV/MTC/WMC/2023/09/063</t>
  </si>
  <si>
    <t>ADVANCE PAY FOR DELL LAPTOP REPAIR CHGS KS 100000/-</t>
  </si>
  <si>
    <t>ADVANCE PAY FOR DELL LAPTOP REPAIR CHGS KS 100000/-  PAY TO YA MIN HAN</t>
  </si>
  <si>
    <t>PV/MTC/WMC/2023/09/064</t>
  </si>
  <si>
    <t>ADVANCE PAY FOR MC BU DOG FEED CHGS KS 70000/-</t>
  </si>
  <si>
    <t>ADVANCE PAY FOR MC BU DOG FEED CHGS KS 70000/- PAY TO YA MIN HAN SEP 23</t>
  </si>
  <si>
    <t>PV/MTC/WMC/2023/09/065</t>
  </si>
  <si>
    <t>CASH PAY FOR FRONT OFFICE CLEAN CLEANING CHGS KS 76800/-</t>
  </si>
  <si>
    <t>CASH PAY FOR FRONT OFFICE CLEAN CLEANING CHGS KS 76800/- PAY TO YA MIN HAN</t>
  </si>
  <si>
    <t>PV/MTC/WMC/2023/09/066</t>
  </si>
  <si>
    <t>CASH PAY FOR SECURITY DAILY WAGES CHGS KS 120000/-</t>
  </si>
  <si>
    <t>CASH PAY FOR SECURITY DAILY WAGES CHGS KS 120000/- PAY YA MIN HAN</t>
  </si>
  <si>
    <t>RV/MTC/WMC/2023/09/034</t>
  </si>
  <si>
    <t>CANCELLED RECEIVE VOUCHER</t>
  </si>
  <si>
    <t>WRONG ADV NO</t>
  </si>
  <si>
    <t>ADVANCE CLEAR FOR SELENA 4U COLOUR PAINTING CHGS KS 684000/-</t>
  </si>
  <si>
    <t>ADVANCE CLEAR FOR SELENA 4U COLOUR PAINTING CHGS KS 684000/- ADV PV/MTC/WMC/2023/08/038 EXP 555000/- REF 129000/-</t>
  </si>
  <si>
    <t>RV/MTC/WMC/2023/09/035</t>
  </si>
  <si>
    <t>ADVANCE CLEAR FOR ROCKER BATTERY AND SELENA PAINTING CHGS KS 684000/-</t>
  </si>
  <si>
    <t>ADVANCE CLEAR FOR ROCKER BATTERY AND SELENA PAINTING CHGS KS 684000/- ADV PV/MTC/WMC/2023/08/059 EXP 555000/- REF 129000/-</t>
  </si>
  <si>
    <t>RV/MTC/WMC/2023/09/036</t>
  </si>
  <si>
    <t>ADVANCE CLEAR FOR SPIN SEAT REPAIR AND MAINTENANCE CHSG KS 2000000/-</t>
  </si>
  <si>
    <t>ADVANCE CLEAR FOR SPIN SEAT REPAIR AND PART CHGS  KS 2000000/- ADV PV/MTC/WMC/2023/08/038 EXP 1440000/-  REF 560000/-</t>
  </si>
  <si>
    <t>RV/MTC/WMC/2023/09/037</t>
  </si>
  <si>
    <t>ADVANCE CLEAR FOR SPIN AND STAR REPAIR CHGS KS 1140000/-</t>
  </si>
  <si>
    <t>ADVANCE CLEAR FOR SPIN AND STAR REPAIR CHGS KS 1140000/- ADV PV/MTC/WMC/2023/07/077 EXP 812550/- REF 327450/-</t>
  </si>
  <si>
    <t>RV/MTC/WMC/2023/09/038</t>
  </si>
  <si>
    <t>ADVANCE CLEAR FOR YGN TO DWI TRANSPOTAION CHGS KS 500000/-</t>
  </si>
  <si>
    <t>ADVANCE CLEAR FOR YGN TO DWI TRANSPOTAION CHGS KS 500000/- ADV PV/MTC/WMC/2023/08/080 EXP 300000/- REF 200000/-</t>
  </si>
  <si>
    <t>RV/MTC/WMC/2023/09/039</t>
  </si>
  <si>
    <t>ADVANCE CLEAR FOR TGN TO NHYU AND HON TRANSPOTAION CHGS KS 500000/-</t>
  </si>
  <si>
    <t>ADVANCE CLEAR FOR TGN TO NHYU AND HON TRANSPOTAION CHGS KS 500000/- ADV PV/MTC/WMC/2023/08/076 EXP 270000/- REF 230000/-</t>
  </si>
  <si>
    <t>RV/MTC/WMC/2023/09/040</t>
  </si>
  <si>
    <t>THAN THAN MYINT,DAW (ID-9670)</t>
  </si>
  <si>
    <t>RECEIVED FROM CUSTOMER FOR WINFINANCE INCOME KS 194000/-</t>
  </si>
  <si>
    <t>RECEIVED FROM CUSTOMER FOR WINFINANCE INCOME KS 194000/- WINFINANCE INCOME</t>
  </si>
  <si>
    <t>PV/MTC/WMC/2023/09/068</t>
  </si>
  <si>
    <t>CASH PAY FOR A4 BUYING CHGS FOR MDY BU KS 10900/-</t>
  </si>
  <si>
    <t>CASH PAY FOR A4 BUYING CHGS FOR MDY BU KS 10900/- PAY TO YA MIN HAN</t>
  </si>
  <si>
    <t>PV/MTC/WMC/2023/09/069</t>
  </si>
  <si>
    <t>MONEY TRANSFER TO CORP CASH FOR UNIT, SPART AND SERVICE INCOME TOTAL KS 1240500KS</t>
  </si>
  <si>
    <t>MONEY TRANSFER TO CORP CASH FOR UNIT, SPART AND SERVICE INCOME TOTAL KS 1240500KS WF 194000KS UNIT SOE MYINT WIN KS 900000/- SPART 80500/- SERVICE 66000/- TOTAL KS 1240500/-</t>
  </si>
  <si>
    <t>RV/MTC/WMC/2023/09/051</t>
  </si>
  <si>
    <t>SOE MYINT WIN ,U (CUSTOMER)</t>
  </si>
  <si>
    <t>RECEIVED FROM CUSTOMER FOR UNIT DEPOSIT CHGS KS 900000/-</t>
  </si>
  <si>
    <t>RECEIVED FROM CUSTOMER FOR UNIT DEPOSIT CHGS KS 900000/- FOR ROYAL 1U MACHINE PRICE 7000000/- DEPOSIT 900000/- PAID BY CUSTOMER</t>
  </si>
  <si>
    <t>PV/MTC/WMC/2023/09/070</t>
  </si>
  <si>
    <t>License extension charges</t>
  </si>
  <si>
    <t>ADVANCE PAY FOR SHOWROOM LICENSE EXTENSION CHGS FOR MDY KS 500000/-</t>
  </si>
  <si>
    <t>ADVANCE PAY FOR SHOWROOM LICENSE EXTENSION CHGS FOR MDY KS 500000/- PAY TO YA MIN HAN</t>
  </si>
  <si>
    <t>PV/MTC/WMC/2023/09/071</t>
  </si>
  <si>
    <t>CASH PAY FOR TA CHGS FOR HTET ARKAR MLM TRIP KS 194000/-</t>
  </si>
  <si>
    <t>CASH PAY FOR TA CHGS FOR HTET ARKAR MLM TRIP KS 194000/- PAY TO THIRI SOE</t>
  </si>
  <si>
    <t>PV/MTC/WMC/2023/09/072</t>
  </si>
  <si>
    <t>CASH PAY FOR TA CHGS FOR KANAYA LICENSE PROCESS TO BAGO KS 33500/-</t>
  </si>
  <si>
    <t>CASH PAY FOR TA CHGS FOR KANAYA LICENSE PROCESS TO BAGO KS 33500/- PAY TO THIRI SOE</t>
  </si>
  <si>
    <t>PV/MTC/WMC/2023/09/073</t>
  </si>
  <si>
    <t>CASH PAY FOR TA CHGS FOR YE YINT AUNG MLM TRIP KS 193000/-</t>
  </si>
  <si>
    <t>CASH PAY FOR TA CHGS FOR YE YINT AUNG MLM TRIP KS 193000/- PAY TO THIRI SOE</t>
  </si>
  <si>
    <t>PV/MTC/WMC/2023/09/074</t>
  </si>
  <si>
    <t>CASH PAY FOR TRANSPOTAION CHGS FOR TGO TOUD 835 REPOCESS KS 220000/-</t>
  </si>
  <si>
    <t>CASH PAY FOR TRANSPOTAION CHGS FOR TGO TOUD 835 REPOCESS KS 220000/- PAY TO THIRI SOE</t>
  </si>
  <si>
    <t>PV/MTC/WMC/2023/09/075</t>
  </si>
  <si>
    <t>CASH PAY FOR TA CHGS FOR KO KHIANG BWAR MDY TO YGN FOR OPERTAION MEETING KS 253000/-</t>
  </si>
  <si>
    <t>CASH PAY FOR TA CHGS FOR KO KHIANG BWAR MDY TO YGN FOR OPERTAION MEETING KS 253000/- PAY TO THIRI SOE</t>
  </si>
  <si>
    <t>PV/MTC/WMC/2023/09/076</t>
  </si>
  <si>
    <t>ADVANCE PAY FOR DAMON NEED PARTS INJECTOR AND FUEL PUMP KS 500000/-</t>
  </si>
  <si>
    <t>ADVANCE PAY FOR DAMON NEED PARTS INJECTOR AND FUEL PUMP KS 500000/- PAY TO AYE THDNDAR HTWE</t>
  </si>
  <si>
    <t>PV/MTC/WMC/2023/09/077</t>
  </si>
  <si>
    <t>ADVANCE PAY FOR SELENA FORK REPAIR CHGS FOR 10U KS 500000/-</t>
  </si>
  <si>
    <t>ADVANCE PAY FOR SELENA FORK REPAIR CHGS FOR 10U KS 500000/- PAY TO AYE THDNNAR HTWE</t>
  </si>
  <si>
    <t>PV/MTC/WMC/2023/09/078</t>
  </si>
  <si>
    <t>ADVANCE PAY FOR CITY LIMITNATED WINDSHIELD GLASS KS 500000/-</t>
  </si>
  <si>
    <t>ADVANCE PAY FOR CITY LIMITNATED WINDSHIELD GLASS KS 500000/- PAY TO AYE THANDAR HTWE</t>
  </si>
  <si>
    <t>PV/MTC/WMC/2023/09/079</t>
  </si>
  <si>
    <t>ADVANCE PAY FOR CITY REPAIR CHGS City MBX0002JFWH693746 KS 500000/-</t>
  </si>
  <si>
    <t>ADVANCE PAY FOR CITY REPAIR CHGS City MBX0002JFWH693746 KS 500000/- PAY TO AYE THDNAR HTWE</t>
  </si>
  <si>
    <t>PV/MTC/WMC/2023/09/080</t>
  </si>
  <si>
    <t>ADVANCE PAY FOR KAWASAKI REPAIR CHGS JKALX125CCDA0988 KS 500000/-</t>
  </si>
  <si>
    <t>ADVANCE PAY FOR KAWASAKI REPAIR CHGS JKALX125CCDA0988 KS 500000/- PAY TO AYE THDNAR HTWE</t>
  </si>
  <si>
    <t>PV/MTC/WMC/2023/09/081</t>
  </si>
  <si>
    <t>ADVANCE PAY FOR SELENA 5U AND DAMON REPAIR CHGS COLOUR PAINTING CHGS KS 1300000/-</t>
  </si>
  <si>
    <t>ADVANCE PAY FOR SELENA 5U AND DAMON REPAIR CHGS COLOUR PAINTING CHGS KS 1300000/- PAY TO AYE THANDAR HTWE</t>
  </si>
  <si>
    <t>PV/MTC/WMC/2023/09/082</t>
  </si>
  <si>
    <t>ADVANCE CLEAR FOR YCDC CHGS FOR TRUSH CAN CLEANING CHGS KS 70000/-</t>
  </si>
  <si>
    <t>ADVANCE CLEAR FOR YCDC CHGS FOR TRUSH CAN CLEANING CHGS KS 70000/- ADV PV/MTC/WMC/2023/08/081 EXP 75000/- ADD 5000/-</t>
  </si>
  <si>
    <t>PV/MTC/WMC/2023/09/083</t>
  </si>
  <si>
    <t>CASH PAY FOR OVERTIME CHGS FOR SERVICE CHGS 111000/-</t>
  </si>
  <si>
    <t>CASH PAY FOR OVERTIME CHGS FOR SERVICE CHGS 111000/- PAY TO AYE THANDAR HTWE</t>
  </si>
  <si>
    <t>PV/MTC/WMC/2023/09/084</t>
  </si>
  <si>
    <t>ADVANCE CLEAR FOR 3W REPAIR AND PAINTING CHGS KS 900000/-</t>
  </si>
  <si>
    <t>ADVANCE CLEAR FOR 3W REPAIR AND PAINTING CHGS KS 900000/- ADV PV/MTC/WMC/2023/08/064 EXP 1000000/- ADD 100000/-</t>
  </si>
  <si>
    <t>RV/MTC/WMC/2023/09/052</t>
  </si>
  <si>
    <t>ADVANCE CLEAR FOR YGN TO GBK TRANSPOTAION CHGS KS 500000/-</t>
  </si>
  <si>
    <t>ADVANCE CLEAR FOR YGN TO GBK TRANSPOTAION CHGS KS 500000/-ADV PV/MTC/WMC/2023/08/077 EXP 0/- REF 500000/-</t>
  </si>
  <si>
    <t>RV/MTC/WMC/2023/09/053</t>
  </si>
  <si>
    <t>Adm#Car License Charges</t>
  </si>
  <si>
    <t>ADVANCE CLEAR FOR CAR LICENSE EXTENSION CHGS FOR 4D/8341 KS 250000/-</t>
  </si>
  <si>
    <t>ADVANCE CLEAR FOR CAR LICENSE EXTENSION CHGS FOR 4D/8341 KS 250000/-ADV PV/MTC/WMC/2023/08/078 EXP 210000/- REF 40000/-</t>
  </si>
  <si>
    <t>RV/MTC/WMC/2023/09/054</t>
  </si>
  <si>
    <t>BUDGET TRANSFER FROM HO FOR SEP FINAL BUDGET KS 4700000/-</t>
  </si>
  <si>
    <t>RV/MTC/WMC/2023/09/055</t>
  </si>
  <si>
    <t>ADVANCE CLEAR FOR TRANSPOTIAON CHGS FOR UMG MOTOR KS 500000/-</t>
  </si>
  <si>
    <t>ADVANCE CLEAR FOR TRANSPOTIAON CHGS FOR UMG MOTOR KS 500000/- ADV PV/MTC/WMC/2023/08/079 EXP 0/- REF 500000/-</t>
  </si>
  <si>
    <t>RV/MTC/WMC/2023/09/056</t>
  </si>
  <si>
    <t>ADVANCE CLEAR FOR 2W AND 3W REPAIR AND PAINTING CHGS KS 900000/-</t>
  </si>
  <si>
    <t>ADVANCE CLEAR FOR 2W AND 3W REPAIR AND PAINTING CHGS KS 900000/-ADV PV/MTC/WMC/2023/08/071 EXP 520000/- REF 3800000/-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</si>
</sst>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\ dd\-mmm\-yyyy"/>
    <numFmt numFmtId="165" formatCode="_(* #,##0_);_(* \(#,##0\);_(* &quot;-&quot;??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0000"/>
      <name val="Times New Roman"/>
      <family val="1"/>
    </font>
    <font>
      <sz val="12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11"/>
      <color rgb="FF000000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rgb="FFFF0000"/>
      <name val="Arial"/>
      <family val="2"/>
    </font>
    <font>
      <sz val="14"/>
      <color theme="1"/>
      <name val="Times New Roman"/>
      <family val="1"/>
    </font>
    <font>
      <b/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14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8">
    <xf numFmtId="0" fontId="0" fillId="0" borderId="0" xfId="0"/>
    <xf numFmtId="0" fontId="4" fillId="0" borderId="2" xfId="0" applyFont="1" applyFill="1" applyBorder="1" applyAlignment="1">
      <alignment horizontal="center" vertical="center"/>
    </xf>
    <xf numFmtId="164" fontId="6" fillId="0" borderId="2" xfId="0" applyNumberFormat="1" applyFont="1" applyFill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Fill="1" applyBorder="1" applyAlignment="1">
      <alignment horizontal="center" vertical="top"/>
    </xf>
    <xf numFmtId="0" fontId="9" fillId="0" borderId="2" xfId="0" applyFont="1" applyBorder="1"/>
    <xf numFmtId="0" fontId="10" fillId="0" borderId="2" xfId="0" applyFont="1" applyBorder="1" applyAlignment="1">
      <alignment horizontal="center"/>
    </xf>
    <xf numFmtId="0" fontId="9" fillId="0" borderId="0" xfId="0" applyFont="1"/>
    <xf numFmtId="0" fontId="11" fillId="0" borderId="2" xfId="0" applyFont="1" applyBorder="1"/>
    <xf numFmtId="0" fontId="12" fillId="0" borderId="2" xfId="0" applyFont="1" applyBorder="1" applyAlignment="1">
      <alignment horizontal="center"/>
    </xf>
    <xf numFmtId="44" fontId="13" fillId="0" borderId="2" xfId="2" applyFont="1" applyFill="1" applyBorder="1" applyAlignment="1">
      <alignment horizontal="center" vertical="center"/>
    </xf>
    <xf numFmtId="165" fontId="14" fillId="0" borderId="0" xfId="0" applyNumberFormat="1" applyFont="1"/>
    <xf numFmtId="0" fontId="15" fillId="0" borderId="0" xfId="0" applyFont="1"/>
    <xf numFmtId="165" fontId="15" fillId="0" borderId="0" xfId="0" applyNumberFormat="1" applyFont="1"/>
    <xf numFmtId="0" fontId="0" fillId="0" borderId="0" xfId="0" applyFont="1"/>
    <xf numFmtId="3" fontId="14" fillId="0" borderId="0" xfId="0" applyNumberFormat="1" applyFont="1" applyAlignment="1">
      <alignment horizontal="right"/>
    </xf>
    <xf numFmtId="0" fontId="16" fillId="0" borderId="2" xfId="0" applyFont="1" applyBorder="1"/>
    <xf numFmtId="165" fontId="16" fillId="0" borderId="2" xfId="1" applyNumberFormat="1" applyFont="1" applyBorder="1" applyAlignment="1">
      <alignment horizontal="right"/>
    </xf>
    <xf numFmtId="14" fontId="12" fillId="3" borderId="2" xfId="0" applyNumberFormat="1" applyFont="1" applyFill="1" applyBorder="1" applyAlignment="1">
      <alignment horizontal="center"/>
    </xf>
    <xf numFmtId="3" fontId="5" fillId="0" borderId="2" xfId="0" applyNumberFormat="1" applyFont="1" applyFill="1" applyBorder="1" applyAlignment="1">
      <alignment horizontal="right" vertical="center"/>
    </xf>
    <xf numFmtId="0" fontId="16" fillId="5" borderId="2" xfId="0" applyFont="1" applyFill="1" applyBorder="1"/>
    <xf numFmtId="165" fontId="0" fillId="0" borderId="0" xfId="0" applyNumberFormat="1"/>
    <xf numFmtId="3" fontId="0" fillId="0" borderId="0" xfId="0" applyNumberFormat="1"/>
    <xf numFmtId="165" fontId="16" fillId="5" borderId="2" xfId="1" applyNumberFormat="1" applyFont="1" applyFill="1" applyBorder="1" applyAlignment="1">
      <alignment horizontal="right"/>
    </xf>
    <xf numFmtId="165" fontId="16" fillId="3" borderId="2" xfId="1" applyNumberFormat="1" applyFont="1" applyFill="1" applyBorder="1" applyAlignment="1">
      <alignment horizontal="right"/>
    </xf>
    <xf numFmtId="165" fontId="16" fillId="6" borderId="2" xfId="1" applyNumberFormat="1" applyFont="1" applyFill="1" applyBorder="1" applyAlignment="1">
      <alignment horizontal="right"/>
    </xf>
    <xf numFmtId="165" fontId="16" fillId="0" borderId="2" xfId="1" applyNumberFormat="1" applyFont="1" applyFill="1" applyBorder="1" applyAlignment="1">
      <alignment horizontal="right"/>
    </xf>
    <xf numFmtId="0" fontId="16" fillId="6" borderId="2" xfId="0" applyFont="1" applyFill="1" applyBorder="1"/>
    <xf numFmtId="165" fontId="0" fillId="6" borderId="0" xfId="1" applyNumberFormat="1" applyFont="1" applyFill="1"/>
    <xf numFmtId="165" fontId="16" fillId="0" borderId="0" xfId="1" applyNumberFormat="1" applyFont="1" applyFill="1" applyBorder="1" applyAlignment="1">
      <alignment horizontal="right"/>
    </xf>
    <xf numFmtId="0" fontId="16" fillId="3" borderId="2" xfId="0" applyFont="1" applyFill="1" applyBorder="1"/>
    <xf numFmtId="165" fontId="16" fillId="4" borderId="2" xfId="1" applyNumberFormat="1" applyFont="1" applyFill="1" applyBorder="1" applyAlignment="1">
      <alignment horizontal="right"/>
    </xf>
    <xf numFmtId="165" fontId="0" fillId="0" borderId="0" xfId="1" applyNumberFormat="1" applyFont="1"/>
    <xf numFmtId="0" fontId="18" fillId="0" borderId="0" xfId="0" applyFont="1"/>
    <xf numFmtId="165" fontId="18" fillId="0" borderId="0" xfId="1" applyNumberFormat="1" applyFont="1"/>
    <xf numFmtId="0" fontId="19" fillId="0" borderId="0" xfId="0" applyFont="1"/>
    <xf numFmtId="165" fontId="19" fillId="0" borderId="0" xfId="0" applyNumberFormat="1" applyFont="1"/>
    <xf numFmtId="0" fontId="16" fillId="0" borderId="2" xfId="0" applyFont="1" applyFill="1" applyBorder="1"/>
    <xf numFmtId="165" fontId="20" fillId="0" borderId="0" xfId="0" applyNumberFormat="1" applyFont="1"/>
    <xf numFmtId="0" fontId="12" fillId="3" borderId="2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left" vertical="center"/>
    </xf>
    <xf numFmtId="0" fontId="9" fillId="0" borderId="2" xfId="0" applyFont="1" applyFill="1" applyBorder="1"/>
    <xf numFmtId="0" fontId="8" fillId="0" borderId="4" xfId="0" applyFont="1" applyFill="1" applyBorder="1" applyAlignment="1">
      <alignment horizontal="center" vertical="center" wrapText="1"/>
    </xf>
    <xf numFmtId="165" fontId="8" fillId="0" borderId="4" xfId="1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0" fillId="0" borderId="0" xfId="0" applyFill="1"/>
    <xf numFmtId="165" fontId="0" fillId="0" borderId="0" xfId="0" applyNumberFormat="1" applyFill="1"/>
    <xf numFmtId="0" fontId="5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/>
    </xf>
    <xf numFmtId="0" fontId="21" fillId="0" borderId="2" xfId="0" applyFont="1" applyBorder="1" applyAlignment="1">
      <alignment vertical="center"/>
    </xf>
    <xf numFmtId="0" fontId="0" fillId="0" borderId="5" xfId="0" applyBorder="1" applyAlignment="1">
      <alignment horizontal="center"/>
    </xf>
    <xf numFmtId="0" fontId="5" fillId="0" borderId="3" xfId="0" applyFont="1" applyFill="1" applyBorder="1" applyAlignment="1">
      <alignment horizontal="left" vertical="center"/>
    </xf>
    <xf numFmtId="164" fontId="6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left" vertical="center" wrapText="1"/>
    </xf>
    <xf numFmtId="4" fontId="7" fillId="0" borderId="3" xfId="0" applyNumberFormat="1" applyFont="1" applyFill="1" applyBorder="1" applyAlignment="1">
      <alignment horizontal="center" vertical="top"/>
    </xf>
    <xf numFmtId="4" fontId="5" fillId="0" borderId="3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Fill="1"/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/>
    </xf>
    <xf numFmtId="164" fontId="6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left" vertical="center" wrapText="1"/>
    </xf>
    <xf numFmtId="4" fontId="7" fillId="0" borderId="4" xfId="0" applyNumberFormat="1" applyFont="1" applyFill="1" applyBorder="1" applyAlignment="1">
      <alignment horizontal="center" vertical="top"/>
    </xf>
    <xf numFmtId="4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17" fillId="0" borderId="2" xfId="0" applyFont="1" applyBorder="1" applyAlignment="1">
      <alignment vertical="center" wrapText="1"/>
    </xf>
    <xf numFmtId="0" fontId="5" fillId="0" borderId="6" xfId="0" applyFont="1" applyFill="1" applyBorder="1" applyAlignment="1">
      <alignment horizontal="left" vertical="center"/>
    </xf>
    <xf numFmtId="164" fontId="6" fillId="0" borderId="6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left" vertical="center" wrapText="1"/>
    </xf>
    <xf numFmtId="4" fontId="7" fillId="0" borderId="6" xfId="0" applyNumberFormat="1" applyFont="1" applyFill="1" applyBorder="1" applyAlignment="1">
      <alignment horizontal="center" vertical="top"/>
    </xf>
    <xf numFmtId="4" fontId="5" fillId="0" borderId="6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3" fillId="0" borderId="7" xfId="0" applyFont="1" applyFill="1" applyBorder="1"/>
    <xf numFmtId="0" fontId="16" fillId="2" borderId="2" xfId="0" applyFont="1" applyFill="1" applyBorder="1" applyAlignment="1">
      <alignment horizontal="left"/>
    </xf>
    <xf numFmtId="165" fontId="16" fillId="2" borderId="2" xfId="1" applyNumberFormat="1" applyFont="1" applyFill="1" applyBorder="1" applyAlignment="1">
      <alignment horizontal="right"/>
    </xf>
    <xf numFmtId="0" fontId="16" fillId="2" borderId="2" xfId="0" applyFont="1" applyFill="1" applyBorder="1"/>
    <xf numFmtId="43" fontId="0" fillId="0" borderId="0" xfId="0" applyNumberFormat="1"/>
    <xf numFmtId="0" fontId="4" fillId="0" borderId="2" xfId="0" applyFont="1" applyFill="1" applyBorder="1" applyAlignment="1">
      <alignment horizontal="left" vertical="center"/>
    </xf>
    <xf numFmtId="43" fontId="4" fillId="0" borderId="2" xfId="1" applyFont="1" applyFill="1" applyBorder="1" applyAlignment="1">
      <alignment horizontal="center" vertical="center"/>
    </xf>
    <xf numFmtId="0" fontId="0" fillId="3" borderId="0" xfId="0" applyFill="1"/>
    <xf numFmtId="0" fontId="11" fillId="0" borderId="2" xfId="0" applyFont="1" applyFill="1" applyBorder="1"/>
    <xf numFmtId="0" fontId="6" fillId="0" borderId="0" xfId="0" applyFont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6" fillId="0" borderId="2" xfId="0" applyFont="1" applyBorder="1"/>
    <xf numFmtId="165" fontId="6" fillId="0" borderId="2" xfId="1" applyNumberFormat="1" applyFont="1" applyBorder="1"/>
    <xf numFmtId="0" fontId="6" fillId="0" borderId="0" xfId="0" applyFont="1"/>
    <xf numFmtId="0" fontId="6" fillId="5" borderId="0" xfId="0" applyFont="1" applyFill="1"/>
    <xf numFmtId="0" fontId="6" fillId="0" borderId="2" xfId="0" applyFont="1" applyBorder="1" applyAlignment="1">
      <alignment horizontal="left" vertical="center"/>
    </xf>
    <xf numFmtId="165" fontId="6" fillId="0" borderId="2" xfId="1" applyNumberFormat="1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5" borderId="0" xfId="0" applyFont="1" applyFill="1" applyAlignment="1">
      <alignment horizontal="left" vertical="center"/>
    </xf>
    <xf numFmtId="165" fontId="6" fillId="0" borderId="2" xfId="1" applyNumberFormat="1" applyFont="1" applyBorder="1" applyAlignment="1">
      <alignment horizontal="left" vertical="center" wrapText="1"/>
    </xf>
    <xf numFmtId="165" fontId="6" fillId="0" borderId="0" xfId="1" applyNumberFormat="1" applyFont="1"/>
    <xf numFmtId="0" fontId="3" fillId="0" borderId="1" xfId="0" applyFont="1" applyFill="1" applyBorder="1"/>
    <xf numFmtId="165" fontId="16" fillId="0" borderId="2" xfId="1" applyNumberFormat="1" applyFont="1" applyFill="1" applyBorder="1" applyAlignment="1">
      <alignment vertical="center"/>
    </xf>
    <xf numFmtId="165" fontId="22" fillId="0" borderId="2" xfId="1" applyNumberFormat="1" applyFont="1" applyFill="1" applyBorder="1" applyAlignment="1">
      <alignment vertical="center"/>
    </xf>
    <xf numFmtId="0" fontId="16" fillId="0" borderId="2" xfId="0" applyFont="1" applyFill="1" applyBorder="1" applyAlignment="1">
      <alignment vertical="center"/>
    </xf>
    <xf numFmtId="9" fontId="5" fillId="0" borderId="2" xfId="3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164" fontId="6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 wrapText="1"/>
    </xf>
    <xf numFmtId="4" fontId="5" fillId="3" borderId="2" xfId="0" applyNumberFormat="1" applyFont="1" applyFill="1" applyBorder="1" applyAlignment="1">
      <alignment horizontal="center" vertical="center"/>
    </xf>
    <xf numFmtId="4" fontId="7" fillId="3" borderId="2" xfId="0" applyNumberFormat="1" applyFont="1" applyFill="1" applyBorder="1" applyAlignment="1">
      <alignment horizontal="center" vertical="top"/>
    </xf>
    <xf numFmtId="0" fontId="5" fillId="3" borderId="2" xfId="0" applyFont="1" applyFill="1" applyBorder="1" applyAlignment="1">
      <alignment horizontal="center" vertical="center"/>
    </xf>
    <xf numFmtId="0" fontId="3" fillId="3" borderId="0" xfId="0" applyFont="1" applyFill="1"/>
    <xf numFmtId="0" fontId="5" fillId="4" borderId="2" xfId="0" applyFont="1" applyFill="1" applyBorder="1" applyAlignment="1">
      <alignment horizontal="left" vertical="center"/>
    </xf>
    <xf numFmtId="164" fontId="6" fillId="4" borderId="2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vertical="center"/>
    </xf>
    <xf numFmtId="0" fontId="5" fillId="4" borderId="2" xfId="0" applyFont="1" applyFill="1" applyBorder="1" applyAlignment="1">
      <alignment horizontal="left" vertical="center" wrapText="1"/>
    </xf>
    <xf numFmtId="4" fontId="5" fillId="4" borderId="2" xfId="0" applyNumberFormat="1" applyFont="1" applyFill="1" applyBorder="1" applyAlignment="1">
      <alignment horizontal="center" vertical="center"/>
    </xf>
    <xf numFmtId="4" fontId="7" fillId="4" borderId="2" xfId="0" applyNumberFormat="1" applyFont="1" applyFill="1" applyBorder="1" applyAlignment="1">
      <alignment horizontal="center" vertical="top"/>
    </xf>
    <xf numFmtId="0" fontId="5" fillId="4" borderId="2" xfId="0" applyFont="1" applyFill="1" applyBorder="1" applyAlignment="1">
      <alignment horizontal="center" vertical="center"/>
    </xf>
    <xf numFmtId="0" fontId="3" fillId="4" borderId="0" xfId="0" applyFont="1" applyFill="1"/>
    <xf numFmtId="0" fontId="2" fillId="0" borderId="1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165" fontId="8" fillId="2" borderId="3" xfId="1" applyNumberFormat="1" applyFont="1" applyFill="1" applyBorder="1" applyAlignment="1">
      <alignment horizontal="center" vertical="center"/>
    </xf>
    <xf numFmtId="165" fontId="8" fillId="2" borderId="4" xfId="1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165" fontId="6" fillId="0" borderId="2" xfId="1" applyNumberFormat="1" applyFont="1" applyBorder="1" applyAlignment="1">
      <alignment horizontal="center"/>
    </xf>
    <xf numFmtId="165" fontId="6" fillId="0" borderId="2" xfId="1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4" borderId="0" xfId="0" applyFill="1"/>
    <xf numFmtId="0" fontId="23" fillId="0" borderId="0" xfId="0" applyFont="1"/>
    <xf numFmtId="164" fontId="24" fillId="0" borderId="2" xfId="0" applyNumberFormat="1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J243"/>
  <sheetViews>
    <sheetView zoomScale="70" zoomScaleNormal="70" workbookViewId="0">
      <pane ySplit="2" topLeftCell="A130" activePane="bottomLeft" state="frozen"/>
      <selection activeCell="A2" sqref="A2"/>
      <selection pane="bottomLeft" activeCell="F137" sqref="F137"/>
    </sheetView>
  </sheetViews>
  <sheetFormatPr defaultColWidth="9.140625" defaultRowHeight="34.5" customHeight="1" x14ac:dyDescent="0.25"/>
  <cols>
    <col min="1" max="1" width="30.85546875" style="46" bestFit="1" customWidth="1"/>
    <col min="2" max="2" width="15" style="46" bestFit="1" customWidth="1"/>
    <col min="3" max="3" width="23.140625" style="46" customWidth="1"/>
    <col min="4" max="4" width="37.28515625" style="46" customWidth="1"/>
    <col min="5" max="5" width="24.5703125" style="46" customWidth="1"/>
    <col min="6" max="6" width="72.42578125" style="46" customWidth="1"/>
    <col min="7" max="7" width="19.5703125" style="46" customWidth="1"/>
    <col min="8" max="8" width="19" style="46" bestFit="1" customWidth="1"/>
    <col min="9" max="9" width="22.5703125" style="46" customWidth="1"/>
    <col min="10" max="10" width="33.5703125" style="46" bestFit="1" customWidth="1"/>
    <col min="11" max="11" width="9.140625" style="46"/>
    <col min="12" max="12" width="10.140625" style="46" bestFit="1" customWidth="1"/>
    <col min="13" max="16384" width="9.140625" style="46"/>
  </cols>
  <sheetData>
    <row r="1" spans="1:10" s="61" customFormat="1" ht="34.5" customHeight="1" x14ac:dyDescent="0.25">
      <c r="A1" s="120" t="s">
        <v>193</v>
      </c>
      <c r="B1" s="120"/>
      <c r="C1" s="120"/>
      <c r="D1" s="120"/>
      <c r="E1" s="120"/>
      <c r="F1" s="120"/>
      <c r="G1" s="120"/>
      <c r="H1" s="120"/>
      <c r="I1" s="120"/>
      <c r="J1" s="120"/>
    </row>
    <row r="2" spans="1:10" s="61" customFormat="1" ht="27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83" t="s">
        <v>4</v>
      </c>
      <c r="F2" s="1" t="s">
        <v>100</v>
      </c>
      <c r="G2" s="1" t="s">
        <v>5</v>
      </c>
      <c r="H2" s="84" t="s">
        <v>6</v>
      </c>
      <c r="I2" s="1" t="s">
        <v>7</v>
      </c>
      <c r="J2" s="1" t="s">
        <v>8</v>
      </c>
    </row>
    <row r="3" spans="1:10" s="61" customFormat="1" ht="33.75" customHeight="1" x14ac:dyDescent="0.25">
      <c r="A3" s="41" t="s">
        <v>9</v>
      </c>
      <c r="B3" s="2">
        <v>45200</v>
      </c>
      <c r="C3" s="48" t="s">
        <v>10</v>
      </c>
      <c r="D3" s="41" t="s">
        <v>10</v>
      </c>
      <c r="E3" s="41" t="s">
        <v>11</v>
      </c>
      <c r="F3" s="41" t="s">
        <v>10</v>
      </c>
      <c r="G3" s="3">
        <v>1031500</v>
      </c>
      <c r="H3" s="4">
        <v>0</v>
      </c>
      <c r="I3" s="3">
        <f>G3</f>
        <v>1031500</v>
      </c>
      <c r="J3" s="60"/>
    </row>
    <row r="4" spans="1:10" s="111" customFormat="1" ht="33.75" customHeight="1" x14ac:dyDescent="0.25">
      <c r="A4" s="104" t="s">
        <v>196</v>
      </c>
      <c r="B4" s="105">
        <v>45202</v>
      </c>
      <c r="C4" s="106" t="s">
        <v>190</v>
      </c>
      <c r="D4" s="104" t="s">
        <v>191</v>
      </c>
      <c r="E4" s="104" t="s">
        <v>197</v>
      </c>
      <c r="F4" s="107" t="s">
        <v>198</v>
      </c>
      <c r="G4" s="108">
        <v>0</v>
      </c>
      <c r="H4" s="109">
        <v>500000</v>
      </c>
      <c r="I4" s="108">
        <f>I3+G4-H4</f>
        <v>531500</v>
      </c>
      <c r="J4" s="110"/>
    </row>
    <row r="5" spans="1:10" s="111" customFormat="1" ht="33.75" customHeight="1" x14ac:dyDescent="0.25">
      <c r="A5" s="104" t="s">
        <v>199</v>
      </c>
      <c r="B5" s="105">
        <v>45202</v>
      </c>
      <c r="C5" s="106" t="s">
        <v>190</v>
      </c>
      <c r="D5" s="104" t="s">
        <v>191</v>
      </c>
      <c r="E5" s="104" t="s">
        <v>200</v>
      </c>
      <c r="F5" s="107" t="s">
        <v>201</v>
      </c>
      <c r="G5" s="108">
        <v>0</v>
      </c>
      <c r="H5" s="109">
        <v>500000</v>
      </c>
      <c r="I5" s="108">
        <f t="shared" ref="I5:I68" si="0">I4+G5-H5</f>
        <v>31500</v>
      </c>
      <c r="J5" s="110"/>
    </row>
    <row r="6" spans="1:10" s="111" customFormat="1" ht="33.75" customHeight="1" x14ac:dyDescent="0.25">
      <c r="A6" s="104" t="s">
        <v>202</v>
      </c>
      <c r="B6" s="105">
        <v>45208</v>
      </c>
      <c r="C6" s="106" t="s">
        <v>203</v>
      </c>
      <c r="D6" s="104" t="s">
        <v>204</v>
      </c>
      <c r="E6" s="104" t="s">
        <v>205</v>
      </c>
      <c r="F6" s="107" t="s">
        <v>206</v>
      </c>
      <c r="G6" s="108">
        <v>0</v>
      </c>
      <c r="H6" s="109">
        <v>100000</v>
      </c>
      <c r="I6" s="108">
        <f t="shared" si="0"/>
        <v>-68500</v>
      </c>
      <c r="J6" s="110"/>
    </row>
    <row r="7" spans="1:10" s="111" customFormat="1" ht="33.75" customHeight="1" x14ac:dyDescent="0.25">
      <c r="A7" s="104" t="s">
        <v>207</v>
      </c>
      <c r="B7" s="105">
        <v>45208</v>
      </c>
      <c r="C7" s="106" t="s">
        <v>203</v>
      </c>
      <c r="D7" s="104" t="s">
        <v>204</v>
      </c>
      <c r="E7" s="104" t="s">
        <v>208</v>
      </c>
      <c r="F7" s="107" t="s">
        <v>209</v>
      </c>
      <c r="G7" s="108">
        <v>0</v>
      </c>
      <c r="H7" s="109">
        <v>38000</v>
      </c>
      <c r="I7" s="108">
        <f t="shared" si="0"/>
        <v>-106500</v>
      </c>
      <c r="J7" s="110"/>
    </row>
    <row r="8" spans="1:10" s="111" customFormat="1" ht="33.75" customHeight="1" x14ac:dyDescent="0.25">
      <c r="A8" s="104" t="s">
        <v>210</v>
      </c>
      <c r="B8" s="105">
        <v>45208</v>
      </c>
      <c r="C8" s="106" t="s">
        <v>211</v>
      </c>
      <c r="D8" s="104" t="s">
        <v>204</v>
      </c>
      <c r="E8" s="104" t="s">
        <v>212</v>
      </c>
      <c r="F8" s="107" t="s">
        <v>213</v>
      </c>
      <c r="G8" s="108">
        <v>0</v>
      </c>
      <c r="H8" s="109">
        <v>20000</v>
      </c>
      <c r="I8" s="108">
        <f t="shared" si="0"/>
        <v>-126500</v>
      </c>
      <c r="J8" s="110"/>
    </row>
    <row r="9" spans="1:10" s="111" customFormat="1" ht="33.75" customHeight="1" x14ac:dyDescent="0.25">
      <c r="A9" s="104" t="s">
        <v>214</v>
      </c>
      <c r="B9" s="105">
        <v>45208</v>
      </c>
      <c r="C9" s="106" t="s">
        <v>215</v>
      </c>
      <c r="D9" s="104" t="s">
        <v>204</v>
      </c>
      <c r="E9" s="104" t="s">
        <v>216</v>
      </c>
      <c r="F9" s="107" t="s">
        <v>217</v>
      </c>
      <c r="G9" s="108">
        <v>0</v>
      </c>
      <c r="H9" s="109">
        <v>27000</v>
      </c>
      <c r="I9" s="108">
        <f t="shared" si="0"/>
        <v>-153500</v>
      </c>
      <c r="J9" s="110"/>
    </row>
    <row r="10" spans="1:10" s="111" customFormat="1" ht="33.75" customHeight="1" x14ac:dyDescent="0.25">
      <c r="A10" s="104" t="s">
        <v>218</v>
      </c>
      <c r="B10" s="105">
        <v>45208</v>
      </c>
      <c r="C10" s="106" t="s">
        <v>219</v>
      </c>
      <c r="D10" s="104" t="s">
        <v>204</v>
      </c>
      <c r="E10" s="104" t="s">
        <v>220</v>
      </c>
      <c r="F10" s="107" t="s">
        <v>221</v>
      </c>
      <c r="G10" s="108">
        <v>0</v>
      </c>
      <c r="H10" s="109">
        <v>250000</v>
      </c>
      <c r="I10" s="108">
        <f t="shared" si="0"/>
        <v>-403500</v>
      </c>
      <c r="J10" s="110"/>
    </row>
    <row r="11" spans="1:10" s="111" customFormat="1" ht="33.75" customHeight="1" x14ac:dyDescent="0.25">
      <c r="A11" s="104" t="s">
        <v>222</v>
      </c>
      <c r="B11" s="105">
        <v>45208</v>
      </c>
      <c r="C11" s="106" t="s">
        <v>219</v>
      </c>
      <c r="D11" s="104" t="s">
        <v>204</v>
      </c>
      <c r="E11" s="104" t="s">
        <v>223</v>
      </c>
      <c r="F11" s="107" t="s">
        <v>224</v>
      </c>
      <c r="G11" s="108">
        <v>0</v>
      </c>
      <c r="H11" s="109">
        <v>500000</v>
      </c>
      <c r="I11" s="108">
        <f t="shared" si="0"/>
        <v>-903500</v>
      </c>
      <c r="J11" s="110"/>
    </row>
    <row r="12" spans="1:10" s="111" customFormat="1" ht="33.75" customHeight="1" x14ac:dyDescent="0.25">
      <c r="A12" s="104" t="s">
        <v>225</v>
      </c>
      <c r="B12" s="105">
        <v>45208</v>
      </c>
      <c r="C12" s="106" t="s">
        <v>215</v>
      </c>
      <c r="D12" s="104" t="s">
        <v>204</v>
      </c>
      <c r="E12" s="104" t="s">
        <v>226</v>
      </c>
      <c r="F12" s="107" t="s">
        <v>227</v>
      </c>
      <c r="G12" s="108">
        <v>0</v>
      </c>
      <c r="H12" s="109">
        <v>100000</v>
      </c>
      <c r="I12" s="108">
        <f t="shared" si="0"/>
        <v>-1003500</v>
      </c>
      <c r="J12" s="110"/>
    </row>
    <row r="13" spans="1:10" s="111" customFormat="1" ht="33.75" customHeight="1" x14ac:dyDescent="0.25">
      <c r="A13" s="104" t="s">
        <v>228</v>
      </c>
      <c r="B13" s="105">
        <v>45208</v>
      </c>
      <c r="C13" s="106" t="s">
        <v>229</v>
      </c>
      <c r="D13" s="104" t="s">
        <v>204</v>
      </c>
      <c r="E13" s="104" t="s">
        <v>230</v>
      </c>
      <c r="F13" s="107" t="s">
        <v>231</v>
      </c>
      <c r="G13" s="108">
        <v>0</v>
      </c>
      <c r="H13" s="109">
        <v>500000</v>
      </c>
      <c r="I13" s="108">
        <f t="shared" si="0"/>
        <v>-1503500</v>
      </c>
      <c r="J13" s="110"/>
    </row>
    <row r="14" spans="1:10" s="111" customFormat="1" ht="33.75" customHeight="1" x14ac:dyDescent="0.25">
      <c r="A14" s="104" t="s">
        <v>232</v>
      </c>
      <c r="B14" s="105">
        <v>45208</v>
      </c>
      <c r="C14" s="106" t="s">
        <v>229</v>
      </c>
      <c r="D14" s="104" t="s">
        <v>204</v>
      </c>
      <c r="E14" s="104" t="s">
        <v>233</v>
      </c>
      <c r="F14" s="107" t="s">
        <v>234</v>
      </c>
      <c r="G14" s="108">
        <v>0</v>
      </c>
      <c r="H14" s="109">
        <v>500000</v>
      </c>
      <c r="I14" s="108">
        <f t="shared" si="0"/>
        <v>-2003500</v>
      </c>
      <c r="J14" s="110"/>
    </row>
    <row r="15" spans="1:10" s="111" customFormat="1" ht="33.75" customHeight="1" x14ac:dyDescent="0.25">
      <c r="A15" s="104" t="s">
        <v>235</v>
      </c>
      <c r="B15" s="105">
        <v>45208</v>
      </c>
      <c r="C15" s="106" t="s">
        <v>229</v>
      </c>
      <c r="D15" s="104" t="s">
        <v>204</v>
      </c>
      <c r="E15" s="104" t="s">
        <v>236</v>
      </c>
      <c r="F15" s="107" t="s">
        <v>237</v>
      </c>
      <c r="G15" s="108">
        <v>0</v>
      </c>
      <c r="H15" s="109">
        <v>500000</v>
      </c>
      <c r="I15" s="108">
        <f t="shared" si="0"/>
        <v>-2503500</v>
      </c>
      <c r="J15" s="110"/>
    </row>
    <row r="16" spans="1:10" s="111" customFormat="1" ht="33.75" customHeight="1" x14ac:dyDescent="0.25">
      <c r="A16" s="104" t="s">
        <v>238</v>
      </c>
      <c r="B16" s="105">
        <v>45208</v>
      </c>
      <c r="C16" s="106" t="s">
        <v>229</v>
      </c>
      <c r="D16" s="104" t="s">
        <v>204</v>
      </c>
      <c r="E16" s="104" t="s">
        <v>239</v>
      </c>
      <c r="F16" s="107" t="s">
        <v>240</v>
      </c>
      <c r="G16" s="108">
        <v>0</v>
      </c>
      <c r="H16" s="109">
        <v>500000</v>
      </c>
      <c r="I16" s="108">
        <f t="shared" si="0"/>
        <v>-3003500</v>
      </c>
      <c r="J16" s="110"/>
    </row>
    <row r="17" spans="1:10" s="111" customFormat="1" ht="33.75" customHeight="1" x14ac:dyDescent="0.25">
      <c r="A17" s="104" t="s">
        <v>241</v>
      </c>
      <c r="B17" s="105">
        <v>45208</v>
      </c>
      <c r="C17" s="106" t="s">
        <v>229</v>
      </c>
      <c r="D17" s="104" t="s">
        <v>204</v>
      </c>
      <c r="E17" s="104" t="s">
        <v>242</v>
      </c>
      <c r="F17" s="107" t="s">
        <v>243</v>
      </c>
      <c r="G17" s="108">
        <v>0</v>
      </c>
      <c r="H17" s="109">
        <v>500000</v>
      </c>
      <c r="I17" s="108">
        <f t="shared" si="0"/>
        <v>-3503500</v>
      </c>
      <c r="J17" s="110"/>
    </row>
    <row r="18" spans="1:10" s="111" customFormat="1" ht="33.75" customHeight="1" x14ac:dyDescent="0.25">
      <c r="A18" s="104" t="s">
        <v>264</v>
      </c>
      <c r="B18" s="105">
        <v>45208</v>
      </c>
      <c r="C18" s="106" t="s">
        <v>265</v>
      </c>
      <c r="D18" s="104" t="s">
        <v>266</v>
      </c>
      <c r="E18" s="104" t="s">
        <v>267</v>
      </c>
      <c r="F18" s="107" t="s">
        <v>268</v>
      </c>
      <c r="G18" s="108">
        <v>0</v>
      </c>
      <c r="H18" s="109">
        <v>70000</v>
      </c>
      <c r="I18" s="108">
        <f t="shared" si="0"/>
        <v>-3573500</v>
      </c>
      <c r="J18" s="110"/>
    </row>
    <row r="19" spans="1:10" s="111" customFormat="1" ht="33.75" customHeight="1" x14ac:dyDescent="0.25">
      <c r="A19" s="104" t="s">
        <v>269</v>
      </c>
      <c r="B19" s="105">
        <v>45208</v>
      </c>
      <c r="C19" s="106" t="s">
        <v>270</v>
      </c>
      <c r="D19" s="104" t="s">
        <v>266</v>
      </c>
      <c r="E19" s="104" t="s">
        <v>271</v>
      </c>
      <c r="F19" s="107" t="s">
        <v>272</v>
      </c>
      <c r="G19" s="108">
        <v>0</v>
      </c>
      <c r="H19" s="109">
        <v>50000</v>
      </c>
      <c r="I19" s="108">
        <f t="shared" si="0"/>
        <v>-3623500</v>
      </c>
      <c r="J19" s="110"/>
    </row>
    <row r="20" spans="1:10" s="61" customFormat="1" ht="33.75" customHeight="1" x14ac:dyDescent="0.25">
      <c r="A20" s="41" t="s">
        <v>244</v>
      </c>
      <c r="B20" s="2">
        <v>45208</v>
      </c>
      <c r="C20" s="48" t="s">
        <v>245</v>
      </c>
      <c r="D20" s="41" t="s">
        <v>246</v>
      </c>
      <c r="E20" s="41" t="s">
        <v>247</v>
      </c>
      <c r="F20" s="41" t="s">
        <v>248</v>
      </c>
      <c r="G20" s="3">
        <v>1200000</v>
      </c>
      <c r="H20" s="4">
        <v>0</v>
      </c>
      <c r="I20" s="3">
        <f t="shared" si="0"/>
        <v>-2423500</v>
      </c>
      <c r="J20" s="60"/>
    </row>
    <row r="21" spans="1:10" s="119" customFormat="1" ht="33.75" customHeight="1" x14ac:dyDescent="0.25">
      <c r="A21" s="112" t="s">
        <v>249</v>
      </c>
      <c r="B21" s="113">
        <v>45208</v>
      </c>
      <c r="C21" s="114" t="s">
        <v>229</v>
      </c>
      <c r="D21" s="112" t="s">
        <v>204</v>
      </c>
      <c r="E21" s="112" t="s">
        <v>250</v>
      </c>
      <c r="F21" s="115" t="s">
        <v>251</v>
      </c>
      <c r="G21" s="116">
        <v>500000</v>
      </c>
      <c r="H21" s="117">
        <v>0</v>
      </c>
      <c r="I21" s="116">
        <f t="shared" si="0"/>
        <v>-1923500</v>
      </c>
      <c r="J21" s="118"/>
    </row>
    <row r="22" spans="1:10" s="119" customFormat="1" ht="33.75" customHeight="1" x14ac:dyDescent="0.25">
      <c r="A22" s="112" t="s">
        <v>252</v>
      </c>
      <c r="B22" s="113">
        <v>45208</v>
      </c>
      <c r="C22" s="114" t="s">
        <v>229</v>
      </c>
      <c r="D22" s="112" t="s">
        <v>204</v>
      </c>
      <c r="E22" s="112" t="s">
        <v>253</v>
      </c>
      <c r="F22" s="115" t="s">
        <v>254</v>
      </c>
      <c r="G22" s="116">
        <v>500000</v>
      </c>
      <c r="H22" s="117">
        <v>0</v>
      </c>
      <c r="I22" s="116">
        <f t="shared" si="0"/>
        <v>-1423500</v>
      </c>
      <c r="J22" s="118"/>
    </row>
    <row r="23" spans="1:10" s="119" customFormat="1" ht="33.75" customHeight="1" x14ac:dyDescent="0.25">
      <c r="A23" s="112" t="s">
        <v>255</v>
      </c>
      <c r="B23" s="113">
        <v>45208</v>
      </c>
      <c r="C23" s="114" t="s">
        <v>229</v>
      </c>
      <c r="D23" s="112" t="s">
        <v>204</v>
      </c>
      <c r="E23" s="112" t="s">
        <v>256</v>
      </c>
      <c r="F23" s="115" t="s">
        <v>257</v>
      </c>
      <c r="G23" s="116">
        <v>500000</v>
      </c>
      <c r="H23" s="117">
        <v>0</v>
      </c>
      <c r="I23" s="116">
        <f t="shared" si="0"/>
        <v>-923500</v>
      </c>
      <c r="J23" s="118"/>
    </row>
    <row r="24" spans="1:10" s="119" customFormat="1" ht="33.75" customHeight="1" x14ac:dyDescent="0.25">
      <c r="A24" s="112" t="s">
        <v>258</v>
      </c>
      <c r="B24" s="113">
        <v>45208</v>
      </c>
      <c r="C24" s="114" t="s">
        <v>229</v>
      </c>
      <c r="D24" s="112" t="s">
        <v>204</v>
      </c>
      <c r="E24" s="112" t="s">
        <v>259</v>
      </c>
      <c r="F24" s="115" t="s">
        <v>260</v>
      </c>
      <c r="G24" s="116">
        <v>500000</v>
      </c>
      <c r="H24" s="117">
        <v>0</v>
      </c>
      <c r="I24" s="116">
        <f t="shared" si="0"/>
        <v>-423500</v>
      </c>
      <c r="J24" s="118"/>
    </row>
    <row r="25" spans="1:10" s="119" customFormat="1" ht="33.75" customHeight="1" x14ac:dyDescent="0.25">
      <c r="A25" s="112" t="s">
        <v>261</v>
      </c>
      <c r="B25" s="113">
        <v>45208</v>
      </c>
      <c r="C25" s="114" t="s">
        <v>229</v>
      </c>
      <c r="D25" s="112" t="s">
        <v>204</v>
      </c>
      <c r="E25" s="112" t="s">
        <v>262</v>
      </c>
      <c r="F25" s="115" t="s">
        <v>263</v>
      </c>
      <c r="G25" s="116">
        <v>500000</v>
      </c>
      <c r="H25" s="117">
        <v>0</v>
      </c>
      <c r="I25" s="116">
        <f t="shared" si="0"/>
        <v>76500</v>
      </c>
      <c r="J25" s="118"/>
    </row>
    <row r="26" spans="1:10" s="111" customFormat="1" ht="33.75" customHeight="1" x14ac:dyDescent="0.25">
      <c r="A26" s="104" t="s">
        <v>273</v>
      </c>
      <c r="B26" s="105">
        <v>45209</v>
      </c>
      <c r="C26" s="106" t="s">
        <v>190</v>
      </c>
      <c r="D26" s="104" t="s">
        <v>191</v>
      </c>
      <c r="E26" s="104" t="s">
        <v>274</v>
      </c>
      <c r="F26" s="107" t="s">
        <v>275</v>
      </c>
      <c r="G26" s="108">
        <v>0</v>
      </c>
      <c r="H26" s="109">
        <v>500000</v>
      </c>
      <c r="I26" s="108">
        <f t="shared" si="0"/>
        <v>-423500</v>
      </c>
      <c r="J26" s="110"/>
    </row>
    <row r="27" spans="1:10" s="61" customFormat="1" ht="33.75" customHeight="1" x14ac:dyDescent="0.25">
      <c r="A27" s="41" t="s">
        <v>276</v>
      </c>
      <c r="B27" s="2">
        <v>45209</v>
      </c>
      <c r="C27" s="48" t="s">
        <v>245</v>
      </c>
      <c r="D27" s="41" t="s">
        <v>246</v>
      </c>
      <c r="E27" s="41" t="s">
        <v>277</v>
      </c>
      <c r="F27" s="49" t="s">
        <v>277</v>
      </c>
      <c r="G27" s="3">
        <v>500000</v>
      </c>
      <c r="H27" s="4">
        <v>0</v>
      </c>
      <c r="I27" s="3">
        <f t="shared" si="0"/>
        <v>76500</v>
      </c>
      <c r="J27" s="60"/>
    </row>
    <row r="28" spans="1:10" s="111" customFormat="1" ht="33.75" customHeight="1" x14ac:dyDescent="0.25">
      <c r="A28" s="104" t="s">
        <v>278</v>
      </c>
      <c r="B28" s="105">
        <v>45210</v>
      </c>
      <c r="C28" s="106" t="s">
        <v>265</v>
      </c>
      <c r="D28" s="104" t="s">
        <v>266</v>
      </c>
      <c r="E28" s="104" t="s">
        <v>279</v>
      </c>
      <c r="F28" s="107" t="s">
        <v>280</v>
      </c>
      <c r="G28" s="108">
        <v>0</v>
      </c>
      <c r="H28" s="109">
        <v>210000</v>
      </c>
      <c r="I28" s="108">
        <f t="shared" si="0"/>
        <v>-133500</v>
      </c>
      <c r="J28" s="110"/>
    </row>
    <row r="29" spans="1:10" s="111" customFormat="1" ht="33.75" customHeight="1" x14ac:dyDescent="0.25">
      <c r="A29" s="104" t="s">
        <v>281</v>
      </c>
      <c r="B29" s="105">
        <v>45210</v>
      </c>
      <c r="C29" s="106" t="s">
        <v>211</v>
      </c>
      <c r="D29" s="104" t="s">
        <v>266</v>
      </c>
      <c r="E29" s="104" t="s">
        <v>282</v>
      </c>
      <c r="F29" s="107" t="s">
        <v>283</v>
      </c>
      <c r="G29" s="108">
        <v>0</v>
      </c>
      <c r="H29" s="109">
        <v>300000</v>
      </c>
      <c r="I29" s="108">
        <f t="shared" si="0"/>
        <v>-433500</v>
      </c>
      <c r="J29" s="110"/>
    </row>
    <row r="30" spans="1:10" s="111" customFormat="1" ht="33.75" customHeight="1" x14ac:dyDescent="0.25">
      <c r="A30" s="104" t="s">
        <v>284</v>
      </c>
      <c r="B30" s="105">
        <v>45210</v>
      </c>
      <c r="C30" s="106" t="s">
        <v>285</v>
      </c>
      <c r="D30" s="104" t="s">
        <v>266</v>
      </c>
      <c r="E30" s="104" t="s">
        <v>286</v>
      </c>
      <c r="F30" s="107" t="s">
        <v>287</v>
      </c>
      <c r="G30" s="108">
        <v>0</v>
      </c>
      <c r="H30" s="109">
        <v>300000</v>
      </c>
      <c r="I30" s="108">
        <f t="shared" si="0"/>
        <v>-733500</v>
      </c>
      <c r="J30" s="110"/>
    </row>
    <row r="31" spans="1:10" s="111" customFormat="1" ht="33.75" customHeight="1" x14ac:dyDescent="0.25">
      <c r="A31" s="104" t="s">
        <v>288</v>
      </c>
      <c r="B31" s="105">
        <v>45210</v>
      </c>
      <c r="C31" s="106" t="s">
        <v>270</v>
      </c>
      <c r="D31" s="104" t="s">
        <v>266</v>
      </c>
      <c r="E31" s="104" t="s">
        <v>289</v>
      </c>
      <c r="F31" s="107" t="s">
        <v>290</v>
      </c>
      <c r="G31" s="108">
        <v>0</v>
      </c>
      <c r="H31" s="109">
        <v>75000</v>
      </c>
      <c r="I31" s="108">
        <f t="shared" si="0"/>
        <v>-808500</v>
      </c>
      <c r="J31" s="110"/>
    </row>
    <row r="32" spans="1:10" s="111" customFormat="1" ht="33.75" customHeight="1" x14ac:dyDescent="0.25">
      <c r="A32" s="104" t="s">
        <v>291</v>
      </c>
      <c r="B32" s="105">
        <v>45210</v>
      </c>
      <c r="C32" s="106" t="s">
        <v>270</v>
      </c>
      <c r="D32" s="104" t="s">
        <v>266</v>
      </c>
      <c r="E32" s="104" t="s">
        <v>292</v>
      </c>
      <c r="F32" s="107" t="s">
        <v>293</v>
      </c>
      <c r="G32" s="108">
        <v>0</v>
      </c>
      <c r="H32" s="109">
        <v>70000</v>
      </c>
      <c r="I32" s="108">
        <f t="shared" si="0"/>
        <v>-878500</v>
      </c>
      <c r="J32" s="110"/>
    </row>
    <row r="33" spans="1:10" s="111" customFormat="1" ht="33.75" customHeight="1" x14ac:dyDescent="0.25">
      <c r="A33" s="104" t="s">
        <v>294</v>
      </c>
      <c r="B33" s="105">
        <v>45210</v>
      </c>
      <c r="C33" s="106" t="s">
        <v>211</v>
      </c>
      <c r="D33" s="104" t="s">
        <v>266</v>
      </c>
      <c r="E33" s="104" t="s">
        <v>295</v>
      </c>
      <c r="F33" s="107" t="s">
        <v>295</v>
      </c>
      <c r="G33" s="108">
        <v>0</v>
      </c>
      <c r="H33" s="109">
        <v>21400</v>
      </c>
      <c r="I33" s="108">
        <f t="shared" si="0"/>
        <v>-899900</v>
      </c>
      <c r="J33" s="110"/>
    </row>
    <row r="34" spans="1:10" s="111" customFormat="1" ht="33.75" customHeight="1" x14ac:dyDescent="0.25">
      <c r="A34" s="104" t="s">
        <v>296</v>
      </c>
      <c r="B34" s="105">
        <v>45210</v>
      </c>
      <c r="C34" s="106" t="s">
        <v>190</v>
      </c>
      <c r="D34" s="104" t="s">
        <v>191</v>
      </c>
      <c r="E34" s="104" t="s">
        <v>297</v>
      </c>
      <c r="F34" s="107" t="s">
        <v>298</v>
      </c>
      <c r="G34" s="108">
        <v>0</v>
      </c>
      <c r="H34" s="109">
        <v>25000</v>
      </c>
      <c r="I34" s="108">
        <f t="shared" si="0"/>
        <v>-924900</v>
      </c>
      <c r="J34" s="110"/>
    </row>
    <row r="35" spans="1:10" s="111" customFormat="1" ht="33.75" customHeight="1" x14ac:dyDescent="0.25">
      <c r="A35" s="104" t="s">
        <v>299</v>
      </c>
      <c r="B35" s="105">
        <v>45210</v>
      </c>
      <c r="C35" s="106" t="s">
        <v>190</v>
      </c>
      <c r="D35" s="104" t="s">
        <v>191</v>
      </c>
      <c r="E35" s="104" t="s">
        <v>300</v>
      </c>
      <c r="F35" s="107" t="s">
        <v>301</v>
      </c>
      <c r="G35" s="108">
        <v>0</v>
      </c>
      <c r="H35" s="109">
        <v>28350</v>
      </c>
      <c r="I35" s="108">
        <f t="shared" si="0"/>
        <v>-953250</v>
      </c>
      <c r="J35" s="110"/>
    </row>
    <row r="36" spans="1:10" s="111" customFormat="1" ht="33.75" customHeight="1" x14ac:dyDescent="0.25">
      <c r="A36" s="104" t="s">
        <v>302</v>
      </c>
      <c r="B36" s="105">
        <v>45210</v>
      </c>
      <c r="C36" s="106" t="s">
        <v>190</v>
      </c>
      <c r="D36" s="104" t="s">
        <v>191</v>
      </c>
      <c r="E36" s="104" t="s">
        <v>303</v>
      </c>
      <c r="F36" s="107" t="s">
        <v>304</v>
      </c>
      <c r="G36" s="108">
        <v>0</v>
      </c>
      <c r="H36" s="109">
        <v>40000</v>
      </c>
      <c r="I36" s="108">
        <f t="shared" si="0"/>
        <v>-993250</v>
      </c>
      <c r="J36" s="110"/>
    </row>
    <row r="37" spans="1:10" s="111" customFormat="1" ht="33.75" customHeight="1" x14ac:dyDescent="0.25">
      <c r="A37" s="104" t="s">
        <v>305</v>
      </c>
      <c r="B37" s="105">
        <v>45210</v>
      </c>
      <c r="C37" s="106" t="s">
        <v>190</v>
      </c>
      <c r="D37" s="104" t="s">
        <v>191</v>
      </c>
      <c r="E37" s="104" t="s">
        <v>306</v>
      </c>
      <c r="F37" s="107" t="s">
        <v>307</v>
      </c>
      <c r="G37" s="108">
        <v>0</v>
      </c>
      <c r="H37" s="109">
        <v>300000</v>
      </c>
      <c r="I37" s="108">
        <f t="shared" si="0"/>
        <v>-1293250</v>
      </c>
      <c r="J37" s="110"/>
    </row>
    <row r="38" spans="1:10" s="111" customFormat="1" ht="33.75" customHeight="1" x14ac:dyDescent="0.25">
      <c r="A38" s="104" t="s">
        <v>308</v>
      </c>
      <c r="B38" s="105">
        <v>45210</v>
      </c>
      <c r="C38" s="106" t="s">
        <v>190</v>
      </c>
      <c r="D38" s="104" t="s">
        <v>191</v>
      </c>
      <c r="E38" s="104" t="s">
        <v>309</v>
      </c>
      <c r="F38" s="107" t="s">
        <v>310</v>
      </c>
      <c r="G38" s="108">
        <v>0</v>
      </c>
      <c r="H38" s="109">
        <v>300000</v>
      </c>
      <c r="I38" s="108">
        <f t="shared" si="0"/>
        <v>-1593250</v>
      </c>
      <c r="J38" s="110"/>
    </row>
    <row r="39" spans="1:10" s="111" customFormat="1" ht="33.75" customHeight="1" x14ac:dyDescent="0.25">
      <c r="A39" s="104" t="s">
        <v>311</v>
      </c>
      <c r="B39" s="105">
        <v>45210</v>
      </c>
      <c r="C39" s="106" t="s">
        <v>190</v>
      </c>
      <c r="D39" s="104" t="s">
        <v>191</v>
      </c>
      <c r="E39" s="104" t="s">
        <v>312</v>
      </c>
      <c r="F39" s="107" t="s">
        <v>313</v>
      </c>
      <c r="G39" s="108">
        <v>0</v>
      </c>
      <c r="H39" s="109">
        <v>500000</v>
      </c>
      <c r="I39" s="108">
        <f t="shared" si="0"/>
        <v>-2093250</v>
      </c>
      <c r="J39" s="110"/>
    </row>
    <row r="40" spans="1:10" s="111" customFormat="1" ht="33.75" customHeight="1" x14ac:dyDescent="0.25">
      <c r="A40" s="104" t="s">
        <v>314</v>
      </c>
      <c r="B40" s="105">
        <v>45210</v>
      </c>
      <c r="C40" s="106" t="s">
        <v>190</v>
      </c>
      <c r="D40" s="104" t="s">
        <v>191</v>
      </c>
      <c r="E40" s="104" t="s">
        <v>315</v>
      </c>
      <c r="F40" s="107" t="s">
        <v>316</v>
      </c>
      <c r="G40" s="108">
        <v>0</v>
      </c>
      <c r="H40" s="109">
        <v>450000</v>
      </c>
      <c r="I40" s="108">
        <f t="shared" si="0"/>
        <v>-2543250</v>
      </c>
      <c r="J40" s="110"/>
    </row>
    <row r="41" spans="1:10" s="111" customFormat="1" ht="33.75" customHeight="1" x14ac:dyDescent="0.25">
      <c r="A41" s="104" t="s">
        <v>317</v>
      </c>
      <c r="B41" s="105">
        <v>45210</v>
      </c>
      <c r="C41" s="106" t="s">
        <v>219</v>
      </c>
      <c r="D41" s="104" t="s">
        <v>191</v>
      </c>
      <c r="E41" s="104" t="s">
        <v>318</v>
      </c>
      <c r="F41" s="107" t="s">
        <v>319</v>
      </c>
      <c r="G41" s="108">
        <v>0</v>
      </c>
      <c r="H41" s="109">
        <v>500000</v>
      </c>
      <c r="I41" s="108">
        <f t="shared" si="0"/>
        <v>-3043250</v>
      </c>
      <c r="J41" s="110"/>
    </row>
    <row r="42" spans="1:10" s="111" customFormat="1" ht="33.75" customHeight="1" x14ac:dyDescent="0.25">
      <c r="A42" s="104" t="s">
        <v>320</v>
      </c>
      <c r="B42" s="105">
        <v>45210</v>
      </c>
      <c r="C42" s="106" t="s">
        <v>190</v>
      </c>
      <c r="D42" s="104" t="s">
        <v>191</v>
      </c>
      <c r="E42" s="104" t="s">
        <v>321</v>
      </c>
      <c r="F42" s="107" t="s">
        <v>322</v>
      </c>
      <c r="G42" s="108">
        <v>0</v>
      </c>
      <c r="H42" s="109">
        <v>300000</v>
      </c>
      <c r="I42" s="108">
        <f t="shared" si="0"/>
        <v>-3343250</v>
      </c>
      <c r="J42" s="110"/>
    </row>
    <row r="43" spans="1:10" s="111" customFormat="1" ht="33.75" customHeight="1" x14ac:dyDescent="0.25">
      <c r="A43" s="104" t="s">
        <v>323</v>
      </c>
      <c r="B43" s="105">
        <v>45210</v>
      </c>
      <c r="C43" s="106" t="s">
        <v>190</v>
      </c>
      <c r="D43" s="104" t="s">
        <v>191</v>
      </c>
      <c r="E43" s="104" t="s">
        <v>324</v>
      </c>
      <c r="F43" s="107" t="s">
        <v>325</v>
      </c>
      <c r="G43" s="108">
        <v>0</v>
      </c>
      <c r="H43" s="109">
        <v>300000</v>
      </c>
      <c r="I43" s="108">
        <f t="shared" si="0"/>
        <v>-3643250</v>
      </c>
      <c r="J43" s="110"/>
    </row>
    <row r="44" spans="1:10" s="111" customFormat="1" ht="33.75" customHeight="1" x14ac:dyDescent="0.25">
      <c r="A44" s="104" t="s">
        <v>326</v>
      </c>
      <c r="B44" s="105">
        <v>45210</v>
      </c>
      <c r="C44" s="106" t="s">
        <v>190</v>
      </c>
      <c r="D44" s="104" t="s">
        <v>191</v>
      </c>
      <c r="E44" s="104" t="s">
        <v>327</v>
      </c>
      <c r="F44" s="107" t="s">
        <v>328</v>
      </c>
      <c r="G44" s="108">
        <v>0</v>
      </c>
      <c r="H44" s="109">
        <v>100000</v>
      </c>
      <c r="I44" s="108">
        <f t="shared" si="0"/>
        <v>-3743250</v>
      </c>
      <c r="J44" s="110"/>
    </row>
    <row r="45" spans="1:10" s="111" customFormat="1" ht="33.75" customHeight="1" x14ac:dyDescent="0.25">
      <c r="A45" s="104" t="s">
        <v>329</v>
      </c>
      <c r="B45" s="105">
        <v>45210</v>
      </c>
      <c r="C45" s="106" t="s">
        <v>190</v>
      </c>
      <c r="D45" s="104" t="s">
        <v>191</v>
      </c>
      <c r="E45" s="104" t="s">
        <v>330</v>
      </c>
      <c r="F45" s="107" t="s">
        <v>331</v>
      </c>
      <c r="G45" s="108">
        <v>0</v>
      </c>
      <c r="H45" s="109">
        <v>350000</v>
      </c>
      <c r="I45" s="108">
        <f t="shared" si="0"/>
        <v>-4093250</v>
      </c>
      <c r="J45" s="110"/>
    </row>
    <row r="46" spans="1:10" s="111" customFormat="1" ht="33.75" customHeight="1" x14ac:dyDescent="0.25">
      <c r="A46" s="104" t="s">
        <v>332</v>
      </c>
      <c r="B46" s="105">
        <v>45210</v>
      </c>
      <c r="C46" s="106" t="s">
        <v>190</v>
      </c>
      <c r="D46" s="104" t="s">
        <v>191</v>
      </c>
      <c r="E46" s="104" t="s">
        <v>333</v>
      </c>
      <c r="F46" s="107" t="s">
        <v>334</v>
      </c>
      <c r="G46" s="108">
        <v>0</v>
      </c>
      <c r="H46" s="109">
        <v>400000</v>
      </c>
      <c r="I46" s="108">
        <f t="shared" si="0"/>
        <v>-4493250</v>
      </c>
      <c r="J46" s="110"/>
    </row>
    <row r="47" spans="1:10" s="111" customFormat="1" ht="33.75" customHeight="1" x14ac:dyDescent="0.25">
      <c r="A47" s="104" t="s">
        <v>335</v>
      </c>
      <c r="B47" s="105">
        <v>45210</v>
      </c>
      <c r="C47" s="106" t="s">
        <v>190</v>
      </c>
      <c r="D47" s="104" t="s">
        <v>191</v>
      </c>
      <c r="E47" s="104" t="s">
        <v>336</v>
      </c>
      <c r="F47" s="107" t="s">
        <v>337</v>
      </c>
      <c r="G47" s="108">
        <v>0</v>
      </c>
      <c r="H47" s="109">
        <v>450000</v>
      </c>
      <c r="I47" s="108">
        <f t="shared" si="0"/>
        <v>-4943250</v>
      </c>
      <c r="J47" s="110"/>
    </row>
    <row r="48" spans="1:10" s="61" customFormat="1" ht="33.75" customHeight="1" x14ac:dyDescent="0.25">
      <c r="A48" s="41" t="s">
        <v>338</v>
      </c>
      <c r="B48" s="2">
        <v>45210</v>
      </c>
      <c r="C48" s="48" t="s">
        <v>245</v>
      </c>
      <c r="D48" s="41" t="s">
        <v>246</v>
      </c>
      <c r="E48" s="41" t="s">
        <v>339</v>
      </c>
      <c r="F48" s="49" t="s">
        <v>339</v>
      </c>
      <c r="G48" s="3">
        <v>4800000</v>
      </c>
      <c r="H48" s="4">
        <v>0</v>
      </c>
      <c r="I48" s="3">
        <f t="shared" si="0"/>
        <v>-143250</v>
      </c>
      <c r="J48" s="60"/>
    </row>
    <row r="49" spans="1:10" s="61" customFormat="1" ht="33.75" customHeight="1" x14ac:dyDescent="0.25">
      <c r="A49" s="41" t="s">
        <v>340</v>
      </c>
      <c r="B49" s="2">
        <v>45210</v>
      </c>
      <c r="C49" s="48" t="s">
        <v>211</v>
      </c>
      <c r="D49" s="41" t="s">
        <v>266</v>
      </c>
      <c r="E49" s="41" t="s">
        <v>341</v>
      </c>
      <c r="F49" s="49" t="s">
        <v>342</v>
      </c>
      <c r="G49" s="3">
        <v>50700</v>
      </c>
      <c r="H49" s="4">
        <v>0</v>
      </c>
      <c r="I49" s="3">
        <f t="shared" si="0"/>
        <v>-92550</v>
      </c>
      <c r="J49" s="60"/>
    </row>
    <row r="50" spans="1:10" s="61" customFormat="1" ht="33.75" customHeight="1" x14ac:dyDescent="0.25">
      <c r="A50" s="41" t="s">
        <v>343</v>
      </c>
      <c r="B50" s="2">
        <v>45210</v>
      </c>
      <c r="C50" s="48" t="s">
        <v>285</v>
      </c>
      <c r="D50" s="41" t="s">
        <v>266</v>
      </c>
      <c r="E50" s="41" t="s">
        <v>344</v>
      </c>
      <c r="F50" s="49" t="s">
        <v>345</v>
      </c>
      <c r="G50" s="3">
        <v>102500</v>
      </c>
      <c r="H50" s="4">
        <v>0</v>
      </c>
      <c r="I50" s="3">
        <f t="shared" si="0"/>
        <v>9950</v>
      </c>
      <c r="J50" s="60"/>
    </row>
    <row r="51" spans="1:10" s="61" customFormat="1" ht="33.75" customHeight="1" x14ac:dyDescent="0.25">
      <c r="A51" s="41" t="s">
        <v>346</v>
      </c>
      <c r="B51" s="2">
        <v>45210</v>
      </c>
      <c r="C51" s="48" t="s">
        <v>270</v>
      </c>
      <c r="D51" s="41" t="s">
        <v>266</v>
      </c>
      <c r="E51" s="41" t="s">
        <v>347</v>
      </c>
      <c r="F51" s="49" t="s">
        <v>348</v>
      </c>
      <c r="G51" s="3">
        <v>14500</v>
      </c>
      <c r="H51" s="4">
        <v>0</v>
      </c>
      <c r="I51" s="3">
        <f t="shared" si="0"/>
        <v>24450</v>
      </c>
      <c r="J51" s="60"/>
    </row>
    <row r="52" spans="1:10" s="61" customFormat="1" ht="33.75" customHeight="1" x14ac:dyDescent="0.25">
      <c r="A52" s="41" t="s">
        <v>349</v>
      </c>
      <c r="B52" s="2">
        <v>45210</v>
      </c>
      <c r="C52" s="48" t="s">
        <v>190</v>
      </c>
      <c r="D52" s="41" t="s">
        <v>191</v>
      </c>
      <c r="E52" s="41" t="s">
        <v>350</v>
      </c>
      <c r="F52" s="49" t="s">
        <v>351</v>
      </c>
      <c r="G52" s="3">
        <v>105000</v>
      </c>
      <c r="H52" s="4">
        <v>0</v>
      </c>
      <c r="I52" s="3">
        <f t="shared" si="0"/>
        <v>129450</v>
      </c>
      <c r="J52" s="60"/>
    </row>
    <row r="53" spans="1:10" s="61" customFormat="1" ht="33.75" customHeight="1" x14ac:dyDescent="0.25">
      <c r="A53" s="41" t="s">
        <v>352</v>
      </c>
      <c r="B53" s="2">
        <v>45210</v>
      </c>
      <c r="C53" s="48" t="s">
        <v>353</v>
      </c>
      <c r="D53" s="41" t="s">
        <v>191</v>
      </c>
      <c r="E53" s="41" t="s">
        <v>354</v>
      </c>
      <c r="F53" s="49" t="s">
        <v>355</v>
      </c>
      <c r="G53" s="3">
        <v>100000</v>
      </c>
      <c r="H53" s="4">
        <v>0</v>
      </c>
      <c r="I53" s="3">
        <f t="shared" si="0"/>
        <v>229450</v>
      </c>
      <c r="J53" s="60"/>
    </row>
    <row r="54" spans="1:10" s="61" customFormat="1" ht="33.75" customHeight="1" x14ac:dyDescent="0.25">
      <c r="A54" s="41" t="s">
        <v>356</v>
      </c>
      <c r="B54" s="2">
        <v>45210</v>
      </c>
      <c r="C54" s="48" t="s">
        <v>190</v>
      </c>
      <c r="D54" s="41" t="s">
        <v>191</v>
      </c>
      <c r="E54" s="41" t="s">
        <v>357</v>
      </c>
      <c r="F54" s="49" t="s">
        <v>358</v>
      </c>
      <c r="G54" s="3">
        <v>88850</v>
      </c>
      <c r="H54" s="4">
        <v>0</v>
      </c>
      <c r="I54" s="3">
        <f t="shared" si="0"/>
        <v>318300</v>
      </c>
      <c r="J54" s="60"/>
    </row>
    <row r="55" spans="1:10" s="61" customFormat="1" ht="33.75" customHeight="1" x14ac:dyDescent="0.25">
      <c r="A55" s="41" t="s">
        <v>359</v>
      </c>
      <c r="B55" s="2">
        <v>45210</v>
      </c>
      <c r="C55" s="48" t="s">
        <v>190</v>
      </c>
      <c r="D55" s="41" t="s">
        <v>191</v>
      </c>
      <c r="E55" s="41" t="s">
        <v>360</v>
      </c>
      <c r="F55" s="49" t="s">
        <v>361</v>
      </c>
      <c r="G55" s="3">
        <v>14000</v>
      </c>
      <c r="H55" s="4">
        <v>0</v>
      </c>
      <c r="I55" s="3">
        <f t="shared" si="0"/>
        <v>332300</v>
      </c>
      <c r="J55" s="60"/>
    </row>
    <row r="56" spans="1:10" s="61" customFormat="1" ht="33.75" customHeight="1" x14ac:dyDescent="0.25">
      <c r="A56" s="41" t="s">
        <v>362</v>
      </c>
      <c r="B56" s="2">
        <v>45210</v>
      </c>
      <c r="C56" s="48" t="s">
        <v>190</v>
      </c>
      <c r="D56" s="41" t="s">
        <v>191</v>
      </c>
      <c r="E56" s="41" t="s">
        <v>363</v>
      </c>
      <c r="F56" s="49" t="s">
        <v>364</v>
      </c>
      <c r="G56" s="3">
        <v>60000</v>
      </c>
      <c r="H56" s="4">
        <v>0</v>
      </c>
      <c r="I56" s="3">
        <f t="shared" si="0"/>
        <v>392300</v>
      </c>
      <c r="J56" s="60"/>
    </row>
    <row r="57" spans="1:10" s="61" customFormat="1" ht="33.75" customHeight="1" x14ac:dyDescent="0.25">
      <c r="A57" s="41" t="s">
        <v>365</v>
      </c>
      <c r="B57" s="2">
        <v>45210</v>
      </c>
      <c r="C57" s="48" t="s">
        <v>190</v>
      </c>
      <c r="D57" s="41" t="s">
        <v>191</v>
      </c>
      <c r="E57" s="41" t="s">
        <v>366</v>
      </c>
      <c r="F57" s="49" t="s">
        <v>367</v>
      </c>
      <c r="G57" s="3">
        <v>5450</v>
      </c>
      <c r="H57" s="4">
        <v>0</v>
      </c>
      <c r="I57" s="3">
        <f t="shared" si="0"/>
        <v>397750</v>
      </c>
      <c r="J57" s="60"/>
    </row>
    <row r="58" spans="1:10" s="61" customFormat="1" ht="33.75" customHeight="1" x14ac:dyDescent="0.25">
      <c r="A58" s="41" t="s">
        <v>368</v>
      </c>
      <c r="B58" s="2">
        <v>45210</v>
      </c>
      <c r="C58" s="48" t="s">
        <v>369</v>
      </c>
      <c r="D58" s="41" t="s">
        <v>370</v>
      </c>
      <c r="E58" s="41" t="s">
        <v>371</v>
      </c>
      <c r="F58" s="49" t="s">
        <v>372</v>
      </c>
      <c r="G58" s="3">
        <v>10000</v>
      </c>
      <c r="H58" s="4">
        <v>0</v>
      </c>
      <c r="I58" s="3">
        <f t="shared" si="0"/>
        <v>407750</v>
      </c>
      <c r="J58" s="60"/>
    </row>
    <row r="59" spans="1:10" s="61" customFormat="1" ht="33.75" customHeight="1" x14ac:dyDescent="0.25">
      <c r="A59" s="41" t="s">
        <v>373</v>
      </c>
      <c r="B59" s="2">
        <v>45212</v>
      </c>
      <c r="C59" s="48" t="s">
        <v>245</v>
      </c>
      <c r="D59" s="41" t="s">
        <v>246</v>
      </c>
      <c r="E59" s="41" t="s">
        <v>374</v>
      </c>
      <c r="F59" s="41" t="s">
        <v>375</v>
      </c>
      <c r="G59" s="3">
        <v>0</v>
      </c>
      <c r="H59" s="4">
        <v>30000</v>
      </c>
      <c r="I59" s="3">
        <f t="shared" si="0"/>
        <v>377750</v>
      </c>
      <c r="J59" s="60"/>
    </row>
    <row r="60" spans="1:10" s="61" customFormat="1" ht="33.75" customHeight="1" x14ac:dyDescent="0.25">
      <c r="A60" s="41" t="s">
        <v>376</v>
      </c>
      <c r="B60" s="2">
        <v>45212</v>
      </c>
      <c r="C60" s="48" t="s">
        <v>369</v>
      </c>
      <c r="D60" s="41" t="s">
        <v>377</v>
      </c>
      <c r="E60" s="41" t="s">
        <v>378</v>
      </c>
      <c r="F60" s="41" t="s">
        <v>379</v>
      </c>
      <c r="G60" s="3">
        <v>5000</v>
      </c>
      <c r="H60" s="4">
        <v>0</v>
      </c>
      <c r="I60" s="3">
        <f t="shared" si="0"/>
        <v>382750</v>
      </c>
      <c r="J60" s="60"/>
    </row>
    <row r="61" spans="1:10" s="61" customFormat="1" ht="33.75" customHeight="1" x14ac:dyDescent="0.25">
      <c r="A61" s="41" t="s">
        <v>380</v>
      </c>
      <c r="B61" s="2">
        <v>45212</v>
      </c>
      <c r="C61" s="48" t="s">
        <v>369</v>
      </c>
      <c r="D61" s="41" t="s">
        <v>381</v>
      </c>
      <c r="E61" s="41" t="s">
        <v>382</v>
      </c>
      <c r="F61" s="41" t="s">
        <v>383</v>
      </c>
      <c r="G61" s="3">
        <v>15000</v>
      </c>
      <c r="H61" s="4">
        <v>0</v>
      </c>
      <c r="I61" s="3">
        <f t="shared" si="0"/>
        <v>397750</v>
      </c>
      <c r="J61" s="60"/>
    </row>
    <row r="62" spans="1:10" s="111" customFormat="1" ht="33.75" customHeight="1" x14ac:dyDescent="0.25">
      <c r="A62" s="104" t="s">
        <v>384</v>
      </c>
      <c r="B62" s="105">
        <v>45215</v>
      </c>
      <c r="C62" s="106" t="s">
        <v>265</v>
      </c>
      <c r="D62" s="104" t="s">
        <v>385</v>
      </c>
      <c r="E62" s="104" t="s">
        <v>386</v>
      </c>
      <c r="F62" s="104" t="s">
        <v>387</v>
      </c>
      <c r="G62" s="108">
        <v>0</v>
      </c>
      <c r="H62" s="109">
        <v>15000</v>
      </c>
      <c r="I62" s="108">
        <f t="shared" si="0"/>
        <v>382750</v>
      </c>
      <c r="J62" s="110"/>
    </row>
    <row r="63" spans="1:10" s="111" customFormat="1" ht="33.75" customHeight="1" x14ac:dyDescent="0.25">
      <c r="A63" s="104" t="s">
        <v>388</v>
      </c>
      <c r="B63" s="105">
        <v>45215</v>
      </c>
      <c r="C63" s="106" t="s">
        <v>265</v>
      </c>
      <c r="D63" s="104" t="s">
        <v>385</v>
      </c>
      <c r="E63" s="104" t="s">
        <v>389</v>
      </c>
      <c r="F63" s="104" t="s">
        <v>390</v>
      </c>
      <c r="G63" s="108">
        <v>0</v>
      </c>
      <c r="H63" s="109">
        <v>80000</v>
      </c>
      <c r="I63" s="108">
        <f t="shared" si="0"/>
        <v>302750</v>
      </c>
      <c r="J63" s="110"/>
    </row>
    <row r="64" spans="1:10" s="111" customFormat="1" ht="33.75" customHeight="1" x14ac:dyDescent="0.25">
      <c r="A64" s="104" t="s">
        <v>391</v>
      </c>
      <c r="B64" s="105">
        <v>45215</v>
      </c>
      <c r="C64" s="106" t="s">
        <v>215</v>
      </c>
      <c r="D64" s="104" t="s">
        <v>204</v>
      </c>
      <c r="E64" s="107" t="s">
        <v>392</v>
      </c>
      <c r="F64" s="107" t="s">
        <v>393</v>
      </c>
      <c r="G64" s="108">
        <v>0</v>
      </c>
      <c r="H64" s="109">
        <v>66500</v>
      </c>
      <c r="I64" s="108">
        <f t="shared" si="0"/>
        <v>236250</v>
      </c>
      <c r="J64" s="110"/>
    </row>
    <row r="65" spans="1:10" s="111" customFormat="1" ht="33.75" customHeight="1" x14ac:dyDescent="0.25">
      <c r="A65" s="104" t="s">
        <v>394</v>
      </c>
      <c r="B65" s="105">
        <v>45215</v>
      </c>
      <c r="C65" s="106" t="s">
        <v>211</v>
      </c>
      <c r="D65" s="104" t="s">
        <v>204</v>
      </c>
      <c r="E65" s="104" t="s">
        <v>395</v>
      </c>
      <c r="F65" s="107" t="s">
        <v>396</v>
      </c>
      <c r="G65" s="108">
        <v>0</v>
      </c>
      <c r="H65" s="109">
        <v>15800</v>
      </c>
      <c r="I65" s="108">
        <f t="shared" si="0"/>
        <v>220450</v>
      </c>
      <c r="J65" s="110"/>
    </row>
    <row r="66" spans="1:10" s="111" customFormat="1" ht="33.75" customHeight="1" x14ac:dyDescent="0.25">
      <c r="A66" s="104" t="s">
        <v>397</v>
      </c>
      <c r="B66" s="105">
        <v>45215</v>
      </c>
      <c r="C66" s="106" t="s">
        <v>215</v>
      </c>
      <c r="D66" s="104" t="s">
        <v>204</v>
      </c>
      <c r="E66" s="104" t="s">
        <v>398</v>
      </c>
      <c r="F66" s="104" t="s">
        <v>399</v>
      </c>
      <c r="G66" s="108">
        <v>0</v>
      </c>
      <c r="H66" s="109">
        <v>244000</v>
      </c>
      <c r="I66" s="108">
        <f t="shared" si="0"/>
        <v>-23550</v>
      </c>
      <c r="J66" s="110"/>
    </row>
    <row r="67" spans="1:10" s="61" customFormat="1" ht="33.75" customHeight="1" x14ac:dyDescent="0.25">
      <c r="A67" s="41" t="s">
        <v>400</v>
      </c>
      <c r="B67" s="2">
        <v>45215</v>
      </c>
      <c r="C67" s="48" t="s">
        <v>203</v>
      </c>
      <c r="D67" s="41" t="s">
        <v>204</v>
      </c>
      <c r="E67" s="41" t="s">
        <v>401</v>
      </c>
      <c r="F67" s="41" t="s">
        <v>402</v>
      </c>
      <c r="G67" s="3">
        <v>76000</v>
      </c>
      <c r="H67" s="4">
        <v>0</v>
      </c>
      <c r="I67" s="3">
        <f t="shared" si="0"/>
        <v>52450</v>
      </c>
      <c r="J67" s="60"/>
    </row>
    <row r="68" spans="1:10" s="61" customFormat="1" ht="33.75" customHeight="1" x14ac:dyDescent="0.25">
      <c r="A68" s="41" t="s">
        <v>403</v>
      </c>
      <c r="B68" s="2">
        <v>45215</v>
      </c>
      <c r="C68" s="48" t="s">
        <v>229</v>
      </c>
      <c r="D68" s="41" t="s">
        <v>204</v>
      </c>
      <c r="E68" s="41" t="s">
        <v>404</v>
      </c>
      <c r="F68" s="41" t="s">
        <v>405</v>
      </c>
      <c r="G68" s="3">
        <v>200000</v>
      </c>
      <c r="H68" s="4">
        <v>0</v>
      </c>
      <c r="I68" s="3">
        <f t="shared" si="0"/>
        <v>252450</v>
      </c>
      <c r="J68" s="60"/>
    </row>
    <row r="69" spans="1:10" s="61" customFormat="1" ht="33.75" customHeight="1" x14ac:dyDescent="0.25">
      <c r="A69" s="41" t="s">
        <v>406</v>
      </c>
      <c r="B69" s="2">
        <v>45215</v>
      </c>
      <c r="C69" s="48" t="s">
        <v>369</v>
      </c>
      <c r="D69" s="41" t="s">
        <v>407</v>
      </c>
      <c r="E69" s="41" t="s">
        <v>378</v>
      </c>
      <c r="F69" s="49" t="s">
        <v>408</v>
      </c>
      <c r="G69" s="3">
        <v>5000</v>
      </c>
      <c r="H69" s="4">
        <v>0</v>
      </c>
      <c r="I69" s="3">
        <f t="shared" ref="I69:I132" si="1">I68+G69-H69</f>
        <v>257450</v>
      </c>
      <c r="J69" s="60"/>
    </row>
    <row r="70" spans="1:10" s="61" customFormat="1" ht="33.75" customHeight="1" x14ac:dyDescent="0.25">
      <c r="A70" s="41" t="s">
        <v>409</v>
      </c>
      <c r="B70" s="2">
        <v>45215</v>
      </c>
      <c r="C70" s="48" t="s">
        <v>369</v>
      </c>
      <c r="D70" s="41" t="s">
        <v>407</v>
      </c>
      <c r="E70" s="41" t="s">
        <v>410</v>
      </c>
      <c r="F70" s="49" t="s">
        <v>411</v>
      </c>
      <c r="G70" s="3">
        <v>20000</v>
      </c>
      <c r="H70" s="4">
        <v>0</v>
      </c>
      <c r="I70" s="3">
        <f t="shared" si="1"/>
        <v>277450</v>
      </c>
      <c r="J70" s="60"/>
    </row>
    <row r="71" spans="1:10" s="111" customFormat="1" ht="33.75" customHeight="1" x14ac:dyDescent="0.25">
      <c r="A71" s="104" t="s">
        <v>412</v>
      </c>
      <c r="B71" s="105">
        <v>45216</v>
      </c>
      <c r="C71" s="106" t="s">
        <v>190</v>
      </c>
      <c r="D71" s="104" t="s">
        <v>191</v>
      </c>
      <c r="E71" s="104" t="s">
        <v>413</v>
      </c>
      <c r="F71" s="107" t="s">
        <v>413</v>
      </c>
      <c r="G71" s="108">
        <v>0</v>
      </c>
      <c r="H71" s="108">
        <v>1500000</v>
      </c>
      <c r="I71" s="108">
        <f t="shared" si="1"/>
        <v>-1222550</v>
      </c>
      <c r="J71" s="110"/>
    </row>
    <row r="72" spans="1:10" s="111" customFormat="1" ht="33.75" customHeight="1" x14ac:dyDescent="0.25">
      <c r="A72" s="104" t="s">
        <v>414</v>
      </c>
      <c r="B72" s="105">
        <v>45216</v>
      </c>
      <c r="C72" s="106" t="s">
        <v>190</v>
      </c>
      <c r="D72" s="104" t="s">
        <v>191</v>
      </c>
      <c r="E72" s="104" t="s">
        <v>415</v>
      </c>
      <c r="F72" s="104" t="s">
        <v>415</v>
      </c>
      <c r="G72" s="109">
        <v>0</v>
      </c>
      <c r="H72" s="108">
        <v>1500000</v>
      </c>
      <c r="I72" s="108">
        <f t="shared" si="1"/>
        <v>-2722550</v>
      </c>
      <c r="J72" s="110"/>
    </row>
    <row r="73" spans="1:10" s="111" customFormat="1" ht="33.75" customHeight="1" x14ac:dyDescent="0.25">
      <c r="A73" s="104" t="s">
        <v>416</v>
      </c>
      <c r="B73" s="105">
        <v>45216</v>
      </c>
      <c r="C73" s="106" t="s">
        <v>190</v>
      </c>
      <c r="D73" s="104" t="s">
        <v>191</v>
      </c>
      <c r="E73" s="104" t="s">
        <v>417</v>
      </c>
      <c r="F73" s="107" t="s">
        <v>418</v>
      </c>
      <c r="G73" s="109">
        <v>0</v>
      </c>
      <c r="H73" s="108">
        <v>900000</v>
      </c>
      <c r="I73" s="108">
        <f t="shared" si="1"/>
        <v>-3622550</v>
      </c>
      <c r="J73" s="110"/>
    </row>
    <row r="74" spans="1:10" s="111" customFormat="1" ht="33.75" customHeight="1" x14ac:dyDescent="0.25">
      <c r="A74" s="104" t="s">
        <v>419</v>
      </c>
      <c r="B74" s="105">
        <v>45216</v>
      </c>
      <c r="C74" s="106" t="s">
        <v>190</v>
      </c>
      <c r="D74" s="104" t="s">
        <v>191</v>
      </c>
      <c r="E74" s="104" t="s">
        <v>420</v>
      </c>
      <c r="F74" s="107" t="s">
        <v>421</v>
      </c>
      <c r="G74" s="109">
        <v>0</v>
      </c>
      <c r="H74" s="108">
        <v>800000</v>
      </c>
      <c r="I74" s="108">
        <f t="shared" si="1"/>
        <v>-4422550</v>
      </c>
      <c r="J74" s="110"/>
    </row>
    <row r="75" spans="1:10" s="111" customFormat="1" ht="33.75" customHeight="1" x14ac:dyDescent="0.25">
      <c r="A75" s="104" t="s">
        <v>422</v>
      </c>
      <c r="B75" s="105">
        <v>45216</v>
      </c>
      <c r="C75" s="106" t="s">
        <v>190</v>
      </c>
      <c r="D75" s="104" t="s">
        <v>191</v>
      </c>
      <c r="E75" s="104" t="s">
        <v>423</v>
      </c>
      <c r="F75" s="107" t="s">
        <v>424</v>
      </c>
      <c r="G75" s="109">
        <v>0</v>
      </c>
      <c r="H75" s="108">
        <v>500000</v>
      </c>
      <c r="I75" s="108">
        <f t="shared" si="1"/>
        <v>-4922550</v>
      </c>
      <c r="J75" s="110"/>
    </row>
    <row r="76" spans="1:10" s="111" customFormat="1" ht="33.75" customHeight="1" x14ac:dyDescent="0.25">
      <c r="A76" s="104" t="s">
        <v>425</v>
      </c>
      <c r="B76" s="105">
        <v>45216</v>
      </c>
      <c r="C76" s="106" t="s">
        <v>229</v>
      </c>
      <c r="D76" s="104" t="s">
        <v>204</v>
      </c>
      <c r="E76" s="104" t="s">
        <v>426</v>
      </c>
      <c r="F76" s="107" t="s">
        <v>427</v>
      </c>
      <c r="G76" s="109">
        <v>0</v>
      </c>
      <c r="H76" s="108">
        <v>60000</v>
      </c>
      <c r="I76" s="108">
        <f t="shared" si="1"/>
        <v>-4982550</v>
      </c>
      <c r="J76" s="110"/>
    </row>
    <row r="77" spans="1:10" s="111" customFormat="1" ht="33.75" customHeight="1" x14ac:dyDescent="0.25">
      <c r="A77" s="104" t="s">
        <v>428</v>
      </c>
      <c r="B77" s="105">
        <v>45216</v>
      </c>
      <c r="C77" s="106" t="s">
        <v>219</v>
      </c>
      <c r="D77" s="104" t="s">
        <v>204</v>
      </c>
      <c r="E77" s="104" t="s">
        <v>429</v>
      </c>
      <c r="F77" s="107" t="s">
        <v>430</v>
      </c>
      <c r="G77" s="109">
        <v>0</v>
      </c>
      <c r="H77" s="108">
        <v>300000</v>
      </c>
      <c r="I77" s="108">
        <f t="shared" si="1"/>
        <v>-5282550</v>
      </c>
      <c r="J77" s="110"/>
    </row>
    <row r="78" spans="1:10" s="111" customFormat="1" ht="33.75" customHeight="1" x14ac:dyDescent="0.25">
      <c r="A78" s="104" t="s">
        <v>431</v>
      </c>
      <c r="B78" s="105">
        <v>45216</v>
      </c>
      <c r="C78" s="106" t="s">
        <v>211</v>
      </c>
      <c r="D78" s="104" t="s">
        <v>204</v>
      </c>
      <c r="E78" s="104" t="s">
        <v>432</v>
      </c>
      <c r="F78" s="107" t="s">
        <v>433</v>
      </c>
      <c r="G78" s="109">
        <v>0</v>
      </c>
      <c r="H78" s="108">
        <v>100000</v>
      </c>
      <c r="I78" s="108">
        <f t="shared" si="1"/>
        <v>-5382550</v>
      </c>
      <c r="J78" s="110"/>
    </row>
    <row r="79" spans="1:10" s="111" customFormat="1" ht="33.75" customHeight="1" x14ac:dyDescent="0.25">
      <c r="A79" s="104" t="s">
        <v>434</v>
      </c>
      <c r="B79" s="105">
        <v>45216</v>
      </c>
      <c r="C79" s="106" t="s">
        <v>270</v>
      </c>
      <c r="D79" s="104" t="s">
        <v>266</v>
      </c>
      <c r="E79" s="104" t="s">
        <v>435</v>
      </c>
      <c r="F79" s="107" t="s">
        <v>436</v>
      </c>
      <c r="G79" s="109">
        <v>0</v>
      </c>
      <c r="H79" s="108">
        <v>33000</v>
      </c>
      <c r="I79" s="108">
        <f t="shared" si="1"/>
        <v>-5415550</v>
      </c>
      <c r="J79" s="110"/>
    </row>
    <row r="80" spans="1:10" s="111" customFormat="1" ht="33.75" customHeight="1" x14ac:dyDescent="0.25">
      <c r="A80" s="104" t="s">
        <v>437</v>
      </c>
      <c r="B80" s="105">
        <v>45216</v>
      </c>
      <c r="C80" s="106" t="s">
        <v>438</v>
      </c>
      <c r="D80" s="104" t="s">
        <v>266</v>
      </c>
      <c r="E80" s="104" t="s">
        <v>439</v>
      </c>
      <c r="F80" s="107" t="s">
        <v>440</v>
      </c>
      <c r="G80" s="109">
        <v>0</v>
      </c>
      <c r="H80" s="108">
        <v>722800</v>
      </c>
      <c r="I80" s="108">
        <f t="shared" si="1"/>
        <v>-6138350</v>
      </c>
      <c r="J80" s="110"/>
    </row>
    <row r="81" spans="1:10" s="61" customFormat="1" ht="33.75" customHeight="1" x14ac:dyDescent="0.25">
      <c r="A81" s="41" t="s">
        <v>441</v>
      </c>
      <c r="B81" s="2">
        <v>45216</v>
      </c>
      <c r="C81" s="48" t="s">
        <v>245</v>
      </c>
      <c r="D81" s="41" t="s">
        <v>246</v>
      </c>
      <c r="E81" s="41" t="s">
        <v>442</v>
      </c>
      <c r="F81" s="49" t="s">
        <v>442</v>
      </c>
      <c r="G81" s="4">
        <v>6800000</v>
      </c>
      <c r="H81" s="3">
        <v>0</v>
      </c>
      <c r="I81" s="3">
        <f t="shared" si="1"/>
        <v>661650</v>
      </c>
      <c r="J81" s="60"/>
    </row>
    <row r="82" spans="1:10" s="111" customFormat="1" ht="33.75" customHeight="1" x14ac:dyDescent="0.25">
      <c r="A82" s="104" t="s">
        <v>443</v>
      </c>
      <c r="B82" s="105">
        <v>45217</v>
      </c>
      <c r="C82" s="106" t="s">
        <v>353</v>
      </c>
      <c r="D82" s="104" t="s">
        <v>266</v>
      </c>
      <c r="E82" s="104" t="s">
        <v>444</v>
      </c>
      <c r="F82" s="107" t="s">
        <v>445</v>
      </c>
      <c r="G82" s="109">
        <v>0</v>
      </c>
      <c r="H82" s="108">
        <v>128000</v>
      </c>
      <c r="I82" s="108">
        <f t="shared" si="1"/>
        <v>533650</v>
      </c>
      <c r="J82" s="110"/>
    </row>
    <row r="83" spans="1:10" s="111" customFormat="1" ht="33.75" customHeight="1" x14ac:dyDescent="0.25">
      <c r="A83" s="104" t="s">
        <v>446</v>
      </c>
      <c r="B83" s="105">
        <v>45217</v>
      </c>
      <c r="C83" s="106" t="s">
        <v>447</v>
      </c>
      <c r="D83" s="104" t="s">
        <v>266</v>
      </c>
      <c r="E83" s="104" t="s">
        <v>448</v>
      </c>
      <c r="F83" s="107" t="s">
        <v>449</v>
      </c>
      <c r="G83" s="109">
        <v>0</v>
      </c>
      <c r="H83" s="108">
        <v>75000</v>
      </c>
      <c r="I83" s="108">
        <f t="shared" si="1"/>
        <v>458650</v>
      </c>
      <c r="J83" s="110"/>
    </row>
    <row r="84" spans="1:10" s="61" customFormat="1" ht="33.75" customHeight="1" x14ac:dyDescent="0.25">
      <c r="A84" s="41" t="s">
        <v>450</v>
      </c>
      <c r="B84" s="2">
        <v>45217</v>
      </c>
      <c r="C84" s="48" t="s">
        <v>451</v>
      </c>
      <c r="D84" s="41" t="s">
        <v>266</v>
      </c>
      <c r="E84" s="41" t="s">
        <v>452</v>
      </c>
      <c r="F84" s="49" t="s">
        <v>453</v>
      </c>
      <c r="G84" s="4">
        <v>60000</v>
      </c>
      <c r="H84" s="3">
        <v>0</v>
      </c>
      <c r="I84" s="3">
        <f t="shared" si="1"/>
        <v>518650</v>
      </c>
      <c r="J84" s="60"/>
    </row>
    <row r="85" spans="1:10" s="61" customFormat="1" ht="33.75" customHeight="1" x14ac:dyDescent="0.25">
      <c r="A85" s="41" t="s">
        <v>454</v>
      </c>
      <c r="B85" s="2">
        <v>45217</v>
      </c>
      <c r="C85" s="48" t="s">
        <v>215</v>
      </c>
      <c r="D85" s="41" t="s">
        <v>266</v>
      </c>
      <c r="E85" s="41" t="s">
        <v>455</v>
      </c>
      <c r="F85" s="49" t="s">
        <v>456</v>
      </c>
      <c r="G85" s="4">
        <v>25000</v>
      </c>
      <c r="H85" s="3">
        <v>0</v>
      </c>
      <c r="I85" s="3">
        <f t="shared" si="1"/>
        <v>543650</v>
      </c>
      <c r="J85" s="60"/>
    </row>
    <row r="86" spans="1:10" s="61" customFormat="1" ht="33.75" customHeight="1" x14ac:dyDescent="0.25">
      <c r="A86" s="41" t="s">
        <v>457</v>
      </c>
      <c r="B86" s="2">
        <v>45218</v>
      </c>
      <c r="C86" s="48" t="s">
        <v>463</v>
      </c>
      <c r="D86" s="41" t="s">
        <v>464</v>
      </c>
      <c r="E86" s="41" t="s">
        <v>459</v>
      </c>
      <c r="F86" s="41" t="s">
        <v>465</v>
      </c>
      <c r="G86" s="4">
        <v>15400</v>
      </c>
      <c r="H86" s="3">
        <v>0</v>
      </c>
      <c r="I86" s="3">
        <f t="shared" si="1"/>
        <v>559050</v>
      </c>
      <c r="J86" s="60"/>
    </row>
    <row r="87" spans="1:10" s="61" customFormat="1" ht="33.75" customHeight="1" x14ac:dyDescent="0.25">
      <c r="A87" s="41" t="s">
        <v>458</v>
      </c>
      <c r="B87" s="2">
        <v>45218</v>
      </c>
      <c r="C87" s="48" t="s">
        <v>463</v>
      </c>
      <c r="D87" s="41" t="s">
        <v>407</v>
      </c>
      <c r="E87" s="41" t="s">
        <v>466</v>
      </c>
      <c r="F87" s="41" t="s">
        <v>467</v>
      </c>
      <c r="G87" s="3">
        <v>24500</v>
      </c>
      <c r="H87" s="3">
        <v>0</v>
      </c>
      <c r="I87" s="3">
        <f t="shared" si="1"/>
        <v>583550</v>
      </c>
      <c r="J87" s="60"/>
    </row>
    <row r="88" spans="1:10" s="111" customFormat="1" ht="33.75" customHeight="1" x14ac:dyDescent="0.25">
      <c r="A88" s="104" t="s">
        <v>462</v>
      </c>
      <c r="B88" s="105">
        <v>45218</v>
      </c>
      <c r="C88" s="106" t="s">
        <v>190</v>
      </c>
      <c r="D88" s="104" t="s">
        <v>191</v>
      </c>
      <c r="E88" s="104" t="s">
        <v>468</v>
      </c>
      <c r="F88" s="104" t="s">
        <v>468</v>
      </c>
      <c r="G88" s="109">
        <v>0</v>
      </c>
      <c r="H88" s="108">
        <v>2000000</v>
      </c>
      <c r="I88" s="108">
        <f t="shared" si="1"/>
        <v>-1416450</v>
      </c>
      <c r="J88" s="110"/>
    </row>
    <row r="89" spans="1:10" s="61" customFormat="1" ht="33.75" customHeight="1" x14ac:dyDescent="0.25">
      <c r="A89" s="41" t="s">
        <v>460</v>
      </c>
      <c r="B89" s="2">
        <v>45218</v>
      </c>
      <c r="C89" s="48" t="s">
        <v>245</v>
      </c>
      <c r="D89" s="41" t="s">
        <v>246</v>
      </c>
      <c r="E89" s="41" t="s">
        <v>461</v>
      </c>
      <c r="F89" s="49" t="s">
        <v>461</v>
      </c>
      <c r="G89" s="4">
        <v>2000000</v>
      </c>
      <c r="H89" s="3">
        <v>0</v>
      </c>
      <c r="I89" s="3">
        <f t="shared" si="1"/>
        <v>583550</v>
      </c>
      <c r="J89" s="60"/>
    </row>
    <row r="90" spans="1:10" s="111" customFormat="1" ht="33.75" customHeight="1" x14ac:dyDescent="0.25">
      <c r="A90" s="104" t="s">
        <v>469</v>
      </c>
      <c r="B90" s="105">
        <v>45219</v>
      </c>
      <c r="C90" s="106" t="s">
        <v>219</v>
      </c>
      <c r="D90" s="104" t="s">
        <v>204</v>
      </c>
      <c r="E90" s="104" t="s">
        <v>470</v>
      </c>
      <c r="F90" s="104" t="s">
        <v>471</v>
      </c>
      <c r="G90" s="109">
        <v>0</v>
      </c>
      <c r="H90" s="108">
        <v>100000</v>
      </c>
      <c r="I90" s="108">
        <f t="shared" si="1"/>
        <v>483550</v>
      </c>
      <c r="J90" s="110"/>
    </row>
    <row r="91" spans="1:10" s="111" customFormat="1" ht="33.75" customHeight="1" x14ac:dyDescent="0.25">
      <c r="A91" s="104" t="s">
        <v>472</v>
      </c>
      <c r="B91" s="105">
        <v>45219</v>
      </c>
      <c r="C91" s="106" t="s">
        <v>219</v>
      </c>
      <c r="D91" s="104" t="s">
        <v>204</v>
      </c>
      <c r="E91" s="104" t="s">
        <v>473</v>
      </c>
      <c r="F91" s="107" t="s">
        <v>474</v>
      </c>
      <c r="G91" s="109">
        <v>0</v>
      </c>
      <c r="H91" s="108">
        <v>392500</v>
      </c>
      <c r="I91" s="108">
        <f t="shared" si="1"/>
        <v>91050</v>
      </c>
      <c r="J91" s="110"/>
    </row>
    <row r="92" spans="1:10" s="111" customFormat="1" ht="33.75" customHeight="1" x14ac:dyDescent="0.25">
      <c r="A92" s="104" t="s">
        <v>475</v>
      </c>
      <c r="B92" s="105">
        <v>45219</v>
      </c>
      <c r="C92" s="106" t="s">
        <v>219</v>
      </c>
      <c r="D92" s="104" t="s">
        <v>204</v>
      </c>
      <c r="E92" s="104" t="s">
        <v>476</v>
      </c>
      <c r="F92" s="107" t="s">
        <v>477</v>
      </c>
      <c r="G92" s="109">
        <v>0</v>
      </c>
      <c r="H92" s="108">
        <v>237200</v>
      </c>
      <c r="I92" s="108">
        <f t="shared" si="1"/>
        <v>-146150</v>
      </c>
      <c r="J92" s="110"/>
    </row>
    <row r="93" spans="1:10" s="111" customFormat="1" ht="33.75" customHeight="1" x14ac:dyDescent="0.25">
      <c r="A93" s="104" t="s">
        <v>478</v>
      </c>
      <c r="B93" s="105">
        <v>45219</v>
      </c>
      <c r="C93" s="106" t="s">
        <v>219</v>
      </c>
      <c r="D93" s="104" t="s">
        <v>204</v>
      </c>
      <c r="E93" s="104" t="s">
        <v>479</v>
      </c>
      <c r="F93" s="107" t="s">
        <v>480</v>
      </c>
      <c r="G93" s="109">
        <v>0</v>
      </c>
      <c r="H93" s="108">
        <v>222000</v>
      </c>
      <c r="I93" s="108">
        <f t="shared" si="1"/>
        <v>-368150</v>
      </c>
      <c r="J93" s="110"/>
    </row>
    <row r="94" spans="1:10" s="111" customFormat="1" ht="33.75" customHeight="1" x14ac:dyDescent="0.25">
      <c r="A94" s="104" t="s">
        <v>481</v>
      </c>
      <c r="B94" s="105">
        <v>45219</v>
      </c>
      <c r="C94" s="106" t="s">
        <v>219</v>
      </c>
      <c r="D94" s="104" t="s">
        <v>204</v>
      </c>
      <c r="E94" s="104" t="s">
        <v>482</v>
      </c>
      <c r="F94" s="107" t="s">
        <v>483</v>
      </c>
      <c r="G94" s="109">
        <v>0</v>
      </c>
      <c r="H94" s="108">
        <v>449500</v>
      </c>
      <c r="I94" s="108">
        <f t="shared" si="1"/>
        <v>-817650</v>
      </c>
      <c r="J94" s="110"/>
    </row>
    <row r="95" spans="1:10" s="61" customFormat="1" ht="33.75" customHeight="1" x14ac:dyDescent="0.25">
      <c r="A95" s="41" t="s">
        <v>484</v>
      </c>
      <c r="B95" s="2">
        <v>45219</v>
      </c>
      <c r="C95" s="48" t="s">
        <v>229</v>
      </c>
      <c r="D95" s="41" t="s">
        <v>204</v>
      </c>
      <c r="E95" s="41" t="s">
        <v>485</v>
      </c>
      <c r="F95" s="49" t="s">
        <v>486</v>
      </c>
      <c r="G95" s="4">
        <v>500000</v>
      </c>
      <c r="H95" s="3">
        <v>0</v>
      </c>
      <c r="I95" s="3">
        <f t="shared" si="1"/>
        <v>-317650</v>
      </c>
      <c r="J95" s="60"/>
    </row>
    <row r="96" spans="1:10" s="119" customFormat="1" ht="33.75" customHeight="1" x14ac:dyDescent="0.25">
      <c r="A96" s="112" t="s">
        <v>487</v>
      </c>
      <c r="B96" s="113">
        <v>45219</v>
      </c>
      <c r="C96" s="114" t="s">
        <v>229</v>
      </c>
      <c r="D96" s="112" t="s">
        <v>204</v>
      </c>
      <c r="E96" s="112" t="s">
        <v>488</v>
      </c>
      <c r="F96" s="115" t="s">
        <v>489</v>
      </c>
      <c r="G96" s="117">
        <v>500000</v>
      </c>
      <c r="H96" s="116">
        <v>0</v>
      </c>
      <c r="I96" s="116">
        <f t="shared" si="1"/>
        <v>182350</v>
      </c>
      <c r="J96" s="118"/>
    </row>
    <row r="97" spans="1:10" s="61" customFormat="1" ht="33.75" customHeight="1" x14ac:dyDescent="0.25">
      <c r="A97" s="41" t="s">
        <v>490</v>
      </c>
      <c r="B97" s="2">
        <v>45219</v>
      </c>
      <c r="C97" s="48" t="s">
        <v>219</v>
      </c>
      <c r="D97" s="41" t="s">
        <v>204</v>
      </c>
      <c r="E97" s="41" t="s">
        <v>491</v>
      </c>
      <c r="F97" s="49" t="s">
        <v>492</v>
      </c>
      <c r="G97" s="4">
        <v>225500</v>
      </c>
      <c r="H97" s="3">
        <v>0</v>
      </c>
      <c r="I97" s="3">
        <f t="shared" si="1"/>
        <v>407850</v>
      </c>
      <c r="J97" s="60"/>
    </row>
    <row r="98" spans="1:10" s="61" customFormat="1" ht="33.75" customHeight="1" x14ac:dyDescent="0.25">
      <c r="A98" s="41" t="s">
        <v>493</v>
      </c>
      <c r="B98" s="2">
        <v>45223</v>
      </c>
      <c r="C98" s="48" t="s">
        <v>495</v>
      </c>
      <c r="D98" s="41" t="s">
        <v>496</v>
      </c>
      <c r="E98" s="41" t="s">
        <v>497</v>
      </c>
      <c r="F98" s="41" t="s">
        <v>498</v>
      </c>
      <c r="G98" s="4">
        <v>34000</v>
      </c>
      <c r="H98" s="3">
        <v>0</v>
      </c>
      <c r="I98" s="3">
        <f t="shared" si="1"/>
        <v>441850</v>
      </c>
      <c r="J98" s="60"/>
    </row>
    <row r="99" spans="1:10" s="111" customFormat="1" ht="33.75" customHeight="1" x14ac:dyDescent="0.25">
      <c r="A99" s="104" t="s">
        <v>494</v>
      </c>
      <c r="B99" s="105">
        <v>45223</v>
      </c>
      <c r="C99" s="106" t="s">
        <v>215</v>
      </c>
      <c r="D99" s="104" t="s">
        <v>204</v>
      </c>
      <c r="E99" s="104" t="s">
        <v>499</v>
      </c>
      <c r="F99" s="104" t="s">
        <v>500</v>
      </c>
      <c r="G99" s="109">
        <v>0</v>
      </c>
      <c r="H99" s="108">
        <v>75000</v>
      </c>
      <c r="I99" s="108">
        <f t="shared" si="1"/>
        <v>366850</v>
      </c>
      <c r="J99" s="110"/>
    </row>
    <row r="100" spans="1:10" s="111" customFormat="1" ht="33.75" customHeight="1" x14ac:dyDescent="0.25">
      <c r="A100" s="104" t="s">
        <v>501</v>
      </c>
      <c r="B100" s="105">
        <v>45223</v>
      </c>
      <c r="C100" s="106" t="s">
        <v>211</v>
      </c>
      <c r="D100" s="104" t="s">
        <v>204</v>
      </c>
      <c r="E100" s="104" t="s">
        <v>502</v>
      </c>
      <c r="F100" s="107" t="s">
        <v>503</v>
      </c>
      <c r="G100" s="109">
        <v>0</v>
      </c>
      <c r="H100" s="108">
        <v>4000</v>
      </c>
      <c r="I100" s="108">
        <f t="shared" si="1"/>
        <v>362850</v>
      </c>
      <c r="J100" s="110"/>
    </row>
    <row r="101" spans="1:10" s="111" customFormat="1" ht="33.75" customHeight="1" x14ac:dyDescent="0.25">
      <c r="A101" s="104" t="s">
        <v>504</v>
      </c>
      <c r="B101" s="105">
        <v>45223</v>
      </c>
      <c r="C101" s="106" t="s">
        <v>229</v>
      </c>
      <c r="D101" s="104" t="s">
        <v>204</v>
      </c>
      <c r="E101" s="104" t="s">
        <v>505</v>
      </c>
      <c r="F101" s="107" t="s">
        <v>506</v>
      </c>
      <c r="G101" s="109">
        <v>0</v>
      </c>
      <c r="H101" s="108">
        <v>340000</v>
      </c>
      <c r="I101" s="108">
        <f t="shared" si="1"/>
        <v>22850</v>
      </c>
      <c r="J101" s="110"/>
    </row>
    <row r="102" spans="1:10" s="111" customFormat="1" ht="33.75" customHeight="1" x14ac:dyDescent="0.25">
      <c r="A102" s="104" t="s">
        <v>507</v>
      </c>
      <c r="B102" s="105">
        <v>45223</v>
      </c>
      <c r="C102" s="106" t="s">
        <v>211</v>
      </c>
      <c r="D102" s="104" t="s">
        <v>204</v>
      </c>
      <c r="E102" s="104" t="s">
        <v>508</v>
      </c>
      <c r="F102" s="107" t="s">
        <v>509</v>
      </c>
      <c r="G102" s="109">
        <v>0</v>
      </c>
      <c r="H102" s="108">
        <v>48000</v>
      </c>
      <c r="I102" s="108">
        <f t="shared" si="1"/>
        <v>-25150</v>
      </c>
      <c r="J102" s="110"/>
    </row>
    <row r="103" spans="1:10" s="111" customFormat="1" ht="33.75" customHeight="1" x14ac:dyDescent="0.25">
      <c r="A103" s="104" t="s">
        <v>510</v>
      </c>
      <c r="B103" s="105">
        <v>45223</v>
      </c>
      <c r="C103" s="106" t="s">
        <v>190</v>
      </c>
      <c r="D103" s="104" t="s">
        <v>191</v>
      </c>
      <c r="E103" s="104" t="s">
        <v>511</v>
      </c>
      <c r="F103" s="107" t="s">
        <v>512</v>
      </c>
      <c r="G103" s="109">
        <v>0</v>
      </c>
      <c r="H103" s="108">
        <v>200000</v>
      </c>
      <c r="I103" s="108">
        <f t="shared" si="1"/>
        <v>-225150</v>
      </c>
      <c r="J103" s="110"/>
    </row>
    <row r="104" spans="1:10" s="111" customFormat="1" ht="33.75" customHeight="1" x14ac:dyDescent="0.25">
      <c r="A104" s="104" t="s">
        <v>513</v>
      </c>
      <c r="B104" s="105">
        <v>45223</v>
      </c>
      <c r="C104" s="106" t="s">
        <v>514</v>
      </c>
      <c r="D104" s="104" t="s">
        <v>191</v>
      </c>
      <c r="E104" s="104" t="s">
        <v>515</v>
      </c>
      <c r="F104" s="107" t="s">
        <v>516</v>
      </c>
      <c r="G104" s="109">
        <v>0</v>
      </c>
      <c r="H104" s="108">
        <v>120000</v>
      </c>
      <c r="I104" s="108">
        <f t="shared" si="1"/>
        <v>-345150</v>
      </c>
      <c r="J104" s="110"/>
    </row>
    <row r="105" spans="1:10" s="119" customFormat="1" ht="33.75" customHeight="1" x14ac:dyDescent="0.25">
      <c r="A105" s="112" t="s">
        <v>517</v>
      </c>
      <c r="B105" s="113">
        <v>45223</v>
      </c>
      <c r="C105" s="114" t="s">
        <v>229</v>
      </c>
      <c r="D105" s="112" t="s">
        <v>204</v>
      </c>
      <c r="E105" s="112" t="s">
        <v>518</v>
      </c>
      <c r="F105" s="115" t="s">
        <v>519</v>
      </c>
      <c r="G105" s="117">
        <v>500000</v>
      </c>
      <c r="H105" s="116">
        <v>0</v>
      </c>
      <c r="I105" s="116">
        <f t="shared" si="1"/>
        <v>154850</v>
      </c>
      <c r="J105" s="118"/>
    </row>
    <row r="106" spans="1:10" s="61" customFormat="1" ht="33.75" customHeight="1" x14ac:dyDescent="0.25">
      <c r="A106" s="41" t="s">
        <v>520</v>
      </c>
      <c r="B106" s="2">
        <v>45223</v>
      </c>
      <c r="C106" s="48" t="s">
        <v>203</v>
      </c>
      <c r="D106" s="41" t="s">
        <v>204</v>
      </c>
      <c r="E106" s="41" t="s">
        <v>521</v>
      </c>
      <c r="F106" s="49" t="s">
        <v>522</v>
      </c>
      <c r="G106" s="4">
        <v>26400</v>
      </c>
      <c r="H106" s="3">
        <v>0</v>
      </c>
      <c r="I106" s="3">
        <f t="shared" si="1"/>
        <v>181250</v>
      </c>
      <c r="J106" s="60"/>
    </row>
    <row r="107" spans="1:10" s="111" customFormat="1" ht="33.75" customHeight="1" x14ac:dyDescent="0.25">
      <c r="A107" s="104" t="s">
        <v>524</v>
      </c>
      <c r="B107" s="105">
        <v>45223</v>
      </c>
      <c r="C107" s="106" t="s">
        <v>525</v>
      </c>
      <c r="D107" s="104" t="s">
        <v>526</v>
      </c>
      <c r="E107" s="104" t="s">
        <v>527</v>
      </c>
      <c r="F107" s="107" t="s">
        <v>528</v>
      </c>
      <c r="G107" s="109">
        <v>0</v>
      </c>
      <c r="H107" s="108">
        <v>20000</v>
      </c>
      <c r="I107" s="108">
        <f t="shared" si="1"/>
        <v>161250</v>
      </c>
      <c r="J107" s="110"/>
    </row>
    <row r="108" spans="1:10" s="61" customFormat="1" ht="33.75" customHeight="1" x14ac:dyDescent="0.25">
      <c r="A108" s="41" t="s">
        <v>529</v>
      </c>
      <c r="B108" s="2">
        <v>45223</v>
      </c>
      <c r="C108" s="48" t="s">
        <v>451</v>
      </c>
      <c r="D108" s="41" t="s">
        <v>266</v>
      </c>
      <c r="E108" s="41" t="s">
        <v>530</v>
      </c>
      <c r="F108" s="49" t="s">
        <v>531</v>
      </c>
      <c r="G108" s="4">
        <v>65000</v>
      </c>
      <c r="H108" s="3">
        <v>0</v>
      </c>
      <c r="I108" s="3">
        <f t="shared" si="1"/>
        <v>226250</v>
      </c>
      <c r="J108" s="60"/>
    </row>
    <row r="109" spans="1:10" s="61" customFormat="1" ht="33.75" customHeight="1" x14ac:dyDescent="0.25">
      <c r="A109" s="41" t="s">
        <v>532</v>
      </c>
      <c r="B109" s="2">
        <v>45223</v>
      </c>
      <c r="C109" s="48" t="s">
        <v>463</v>
      </c>
      <c r="D109" s="41" t="s">
        <v>533</v>
      </c>
      <c r="E109" s="41" t="s">
        <v>534</v>
      </c>
      <c r="F109" s="49" t="s">
        <v>535</v>
      </c>
      <c r="G109" s="4">
        <v>75300</v>
      </c>
      <c r="H109" s="3">
        <v>0</v>
      </c>
      <c r="I109" s="3">
        <f t="shared" si="1"/>
        <v>301550</v>
      </c>
      <c r="J109" s="60"/>
    </row>
    <row r="110" spans="1:10" s="61" customFormat="1" ht="33.75" customHeight="1" x14ac:dyDescent="0.25">
      <c r="A110" s="41" t="s">
        <v>536</v>
      </c>
      <c r="B110" s="2">
        <v>45223</v>
      </c>
      <c r="C110" s="48" t="s">
        <v>369</v>
      </c>
      <c r="D110" s="41" t="s">
        <v>537</v>
      </c>
      <c r="E110" s="41" t="s">
        <v>378</v>
      </c>
      <c r="F110" s="49" t="s">
        <v>538</v>
      </c>
      <c r="G110" s="4">
        <v>5000</v>
      </c>
      <c r="H110" s="3">
        <v>0</v>
      </c>
      <c r="I110" s="3">
        <f t="shared" si="1"/>
        <v>306550</v>
      </c>
      <c r="J110" s="60"/>
    </row>
    <row r="111" spans="1:10" s="61" customFormat="1" ht="33.75" customHeight="1" x14ac:dyDescent="0.25">
      <c r="A111" s="41" t="s">
        <v>539</v>
      </c>
      <c r="B111" s="2">
        <v>45225</v>
      </c>
      <c r="C111" s="48" t="s">
        <v>447</v>
      </c>
      <c r="D111" s="41" t="s">
        <v>204</v>
      </c>
      <c r="E111" s="41" t="s">
        <v>540</v>
      </c>
      <c r="F111" s="49" t="s">
        <v>541</v>
      </c>
      <c r="G111" s="4">
        <v>0</v>
      </c>
      <c r="H111" s="3">
        <v>15000</v>
      </c>
      <c r="I111" s="3">
        <f t="shared" si="1"/>
        <v>291550</v>
      </c>
      <c r="J111" s="60"/>
    </row>
    <row r="112" spans="1:10" s="61" customFormat="1" ht="33.75" customHeight="1" x14ac:dyDescent="0.25">
      <c r="A112" s="41" t="s">
        <v>542</v>
      </c>
      <c r="B112" s="2">
        <v>45225</v>
      </c>
      <c r="C112" s="48" t="s">
        <v>211</v>
      </c>
      <c r="D112" s="41" t="s">
        <v>204</v>
      </c>
      <c r="E112" s="41" t="s">
        <v>543</v>
      </c>
      <c r="F112" s="49" t="s">
        <v>544</v>
      </c>
      <c r="G112" s="4">
        <v>0</v>
      </c>
      <c r="H112" s="3">
        <v>100000</v>
      </c>
      <c r="I112" s="3">
        <f t="shared" si="1"/>
        <v>191550</v>
      </c>
      <c r="J112" s="60"/>
    </row>
    <row r="113" spans="1:10" s="111" customFormat="1" ht="33.75" customHeight="1" x14ac:dyDescent="0.25">
      <c r="A113" s="104" t="s">
        <v>545</v>
      </c>
      <c r="B113" s="105">
        <v>45225</v>
      </c>
      <c r="C113" s="106" t="s">
        <v>546</v>
      </c>
      <c r="D113" s="104" t="s">
        <v>191</v>
      </c>
      <c r="E113" s="104" t="s">
        <v>547</v>
      </c>
      <c r="F113" s="107" t="s">
        <v>548</v>
      </c>
      <c r="G113" s="109">
        <v>0</v>
      </c>
      <c r="H113" s="108">
        <v>417500</v>
      </c>
      <c r="I113" s="108">
        <f t="shared" si="1"/>
        <v>-225950</v>
      </c>
      <c r="J113" s="110"/>
    </row>
    <row r="114" spans="1:10" s="111" customFormat="1" ht="33.75" customHeight="1" x14ac:dyDescent="0.25">
      <c r="A114" s="104" t="s">
        <v>549</v>
      </c>
      <c r="B114" s="105">
        <v>45225</v>
      </c>
      <c r="C114" s="106" t="s">
        <v>229</v>
      </c>
      <c r="D114" s="104" t="s">
        <v>204</v>
      </c>
      <c r="E114" s="104" t="s">
        <v>550</v>
      </c>
      <c r="F114" s="107" t="s">
        <v>551</v>
      </c>
      <c r="G114" s="109">
        <v>0</v>
      </c>
      <c r="H114" s="108">
        <v>500000</v>
      </c>
      <c r="I114" s="108">
        <f t="shared" si="1"/>
        <v>-725950</v>
      </c>
      <c r="J114" s="110"/>
    </row>
    <row r="115" spans="1:10" s="111" customFormat="1" ht="33.75" customHeight="1" x14ac:dyDescent="0.25">
      <c r="A115" s="104" t="s">
        <v>552</v>
      </c>
      <c r="B115" s="105">
        <v>45225</v>
      </c>
      <c r="C115" s="106" t="s">
        <v>229</v>
      </c>
      <c r="D115" s="104" t="s">
        <v>204</v>
      </c>
      <c r="E115" s="104" t="s">
        <v>553</v>
      </c>
      <c r="F115" s="107" t="s">
        <v>554</v>
      </c>
      <c r="G115" s="109">
        <v>0</v>
      </c>
      <c r="H115" s="108">
        <v>500000</v>
      </c>
      <c r="I115" s="108">
        <f t="shared" si="1"/>
        <v>-1225950</v>
      </c>
      <c r="J115" s="110"/>
    </row>
    <row r="116" spans="1:10" s="61" customFormat="1" ht="33.75" customHeight="1" x14ac:dyDescent="0.25">
      <c r="A116" s="41" t="s">
        <v>555</v>
      </c>
      <c r="B116" s="2">
        <v>45225</v>
      </c>
      <c r="C116" s="48" t="s">
        <v>190</v>
      </c>
      <c r="D116" s="41" t="s">
        <v>191</v>
      </c>
      <c r="E116" s="41" t="s">
        <v>556</v>
      </c>
      <c r="F116" s="49" t="s">
        <v>557</v>
      </c>
      <c r="G116" s="4">
        <v>0</v>
      </c>
      <c r="H116" s="3">
        <v>25100</v>
      </c>
      <c r="I116" s="3">
        <f t="shared" si="1"/>
        <v>-1251050</v>
      </c>
      <c r="J116" s="60"/>
    </row>
    <row r="117" spans="1:10" s="61" customFormat="1" ht="33.75" customHeight="1" x14ac:dyDescent="0.25">
      <c r="A117" s="41" t="s">
        <v>558</v>
      </c>
      <c r="B117" s="2">
        <v>45225</v>
      </c>
      <c r="C117" s="48" t="s">
        <v>190</v>
      </c>
      <c r="D117" s="41" t="s">
        <v>191</v>
      </c>
      <c r="E117" s="41" t="s">
        <v>559</v>
      </c>
      <c r="F117" s="49" t="s">
        <v>560</v>
      </c>
      <c r="G117" s="4">
        <v>0</v>
      </c>
      <c r="H117" s="3">
        <v>50000</v>
      </c>
      <c r="I117" s="3">
        <f t="shared" si="1"/>
        <v>-1301050</v>
      </c>
      <c r="J117" s="60"/>
    </row>
    <row r="118" spans="1:10" s="61" customFormat="1" ht="33.75" customHeight="1" x14ac:dyDescent="0.25">
      <c r="A118" s="41" t="s">
        <v>561</v>
      </c>
      <c r="B118" s="2">
        <v>45225</v>
      </c>
      <c r="C118" s="48" t="s">
        <v>211</v>
      </c>
      <c r="D118" s="41" t="s">
        <v>191</v>
      </c>
      <c r="E118" s="41" t="s">
        <v>562</v>
      </c>
      <c r="F118" s="49" t="s">
        <v>563</v>
      </c>
      <c r="G118" s="4">
        <v>0</v>
      </c>
      <c r="H118" s="3">
        <v>26000</v>
      </c>
      <c r="I118" s="3">
        <f t="shared" si="1"/>
        <v>-1327050</v>
      </c>
      <c r="J118" s="60"/>
    </row>
    <row r="119" spans="1:10" s="61" customFormat="1" ht="33.75" customHeight="1" x14ac:dyDescent="0.25">
      <c r="A119" s="41" t="s">
        <v>564</v>
      </c>
      <c r="B119" s="2">
        <v>45225</v>
      </c>
      <c r="C119" s="48" t="s">
        <v>190</v>
      </c>
      <c r="D119" s="41" t="s">
        <v>191</v>
      </c>
      <c r="E119" s="41" t="s">
        <v>565</v>
      </c>
      <c r="F119" s="49" t="s">
        <v>566</v>
      </c>
      <c r="G119" s="4">
        <v>0</v>
      </c>
      <c r="H119" s="3">
        <v>56000</v>
      </c>
      <c r="I119" s="3">
        <f t="shared" si="1"/>
        <v>-1383050</v>
      </c>
      <c r="J119" s="60"/>
    </row>
    <row r="120" spans="1:10" s="61" customFormat="1" ht="33.75" customHeight="1" x14ac:dyDescent="0.25">
      <c r="A120" s="41" t="s">
        <v>567</v>
      </c>
      <c r="B120" s="2">
        <v>45225</v>
      </c>
      <c r="C120" s="48" t="s">
        <v>190</v>
      </c>
      <c r="D120" s="41" t="s">
        <v>191</v>
      </c>
      <c r="E120" s="41" t="s">
        <v>568</v>
      </c>
      <c r="F120" s="49" t="s">
        <v>569</v>
      </c>
      <c r="G120" s="4">
        <v>0</v>
      </c>
      <c r="H120" s="3">
        <v>311700</v>
      </c>
      <c r="I120" s="3">
        <f t="shared" si="1"/>
        <v>-1694750</v>
      </c>
      <c r="J120" s="60"/>
    </row>
    <row r="121" spans="1:10" s="61" customFormat="1" ht="33.75" customHeight="1" x14ac:dyDescent="0.25">
      <c r="A121" s="41" t="s">
        <v>570</v>
      </c>
      <c r="B121" s="2">
        <v>45225</v>
      </c>
      <c r="C121" s="48" t="s">
        <v>265</v>
      </c>
      <c r="D121" s="41" t="s">
        <v>191</v>
      </c>
      <c r="E121" s="41" t="s">
        <v>571</v>
      </c>
      <c r="F121" s="49" t="s">
        <v>572</v>
      </c>
      <c r="G121" s="4">
        <v>0</v>
      </c>
      <c r="H121" s="3">
        <v>180000</v>
      </c>
      <c r="I121" s="3">
        <f t="shared" si="1"/>
        <v>-1874750</v>
      </c>
      <c r="J121" s="60"/>
    </row>
    <row r="122" spans="1:10" s="111" customFormat="1" ht="33.75" customHeight="1" x14ac:dyDescent="0.25">
      <c r="A122" s="104" t="s">
        <v>589</v>
      </c>
      <c r="B122" s="105">
        <v>45225</v>
      </c>
      <c r="C122" s="106" t="s">
        <v>190</v>
      </c>
      <c r="D122" s="104" t="s">
        <v>191</v>
      </c>
      <c r="E122" s="104" t="s">
        <v>590</v>
      </c>
      <c r="F122" s="107" t="s">
        <v>591</v>
      </c>
      <c r="G122" s="109">
        <v>0</v>
      </c>
      <c r="H122" s="108">
        <v>500000</v>
      </c>
      <c r="I122" s="108">
        <f t="shared" si="1"/>
        <v>-2374750</v>
      </c>
      <c r="J122" s="110"/>
    </row>
    <row r="123" spans="1:10" s="111" customFormat="1" ht="33.75" customHeight="1" x14ac:dyDescent="0.25">
      <c r="A123" s="104" t="s">
        <v>592</v>
      </c>
      <c r="B123" s="105">
        <v>45225</v>
      </c>
      <c r="C123" s="106" t="s">
        <v>190</v>
      </c>
      <c r="D123" s="104" t="s">
        <v>191</v>
      </c>
      <c r="E123" s="104" t="s">
        <v>593</v>
      </c>
      <c r="F123" s="107" t="s">
        <v>594</v>
      </c>
      <c r="G123" s="109">
        <v>0</v>
      </c>
      <c r="H123" s="108">
        <v>500000</v>
      </c>
      <c r="I123" s="108">
        <f t="shared" si="1"/>
        <v>-2874750</v>
      </c>
      <c r="J123" s="110"/>
    </row>
    <row r="124" spans="1:10" s="111" customFormat="1" ht="33.75" customHeight="1" x14ac:dyDescent="0.25">
      <c r="A124" s="104" t="s">
        <v>595</v>
      </c>
      <c r="B124" s="105">
        <v>45225</v>
      </c>
      <c r="C124" s="106" t="s">
        <v>190</v>
      </c>
      <c r="D124" s="104" t="s">
        <v>191</v>
      </c>
      <c r="E124" s="104" t="s">
        <v>596</v>
      </c>
      <c r="F124" s="107" t="s">
        <v>597</v>
      </c>
      <c r="G124" s="109">
        <v>0</v>
      </c>
      <c r="H124" s="108">
        <v>500000</v>
      </c>
      <c r="I124" s="108">
        <f t="shared" si="1"/>
        <v>-3374750</v>
      </c>
      <c r="J124" s="110"/>
    </row>
    <row r="125" spans="1:10" s="111" customFormat="1" ht="33.75" customHeight="1" x14ac:dyDescent="0.25">
      <c r="A125" s="104" t="s">
        <v>598</v>
      </c>
      <c r="B125" s="105">
        <v>45225</v>
      </c>
      <c r="C125" s="106" t="s">
        <v>190</v>
      </c>
      <c r="D125" s="104" t="s">
        <v>191</v>
      </c>
      <c r="E125" s="104" t="s">
        <v>599</v>
      </c>
      <c r="F125" s="107" t="s">
        <v>600</v>
      </c>
      <c r="G125" s="109">
        <v>0</v>
      </c>
      <c r="H125" s="108">
        <v>500000</v>
      </c>
      <c r="I125" s="108">
        <f t="shared" si="1"/>
        <v>-3874750</v>
      </c>
      <c r="J125" s="110"/>
    </row>
    <row r="126" spans="1:10" s="111" customFormat="1" ht="33.75" customHeight="1" x14ac:dyDescent="0.25">
      <c r="A126" s="104" t="s">
        <v>601</v>
      </c>
      <c r="B126" s="105">
        <v>45225</v>
      </c>
      <c r="C126" s="106" t="s">
        <v>190</v>
      </c>
      <c r="D126" s="104" t="s">
        <v>191</v>
      </c>
      <c r="E126" s="104" t="s">
        <v>602</v>
      </c>
      <c r="F126" s="107" t="s">
        <v>603</v>
      </c>
      <c r="G126" s="109">
        <v>0</v>
      </c>
      <c r="H126" s="108">
        <v>300000</v>
      </c>
      <c r="I126" s="108">
        <f t="shared" si="1"/>
        <v>-4174750</v>
      </c>
      <c r="J126" s="110"/>
    </row>
    <row r="127" spans="1:10" s="111" customFormat="1" ht="54" customHeight="1" x14ac:dyDescent="0.25">
      <c r="A127" s="104" t="s">
        <v>604</v>
      </c>
      <c r="B127" s="105">
        <v>45225</v>
      </c>
      <c r="C127" s="106" t="s">
        <v>190</v>
      </c>
      <c r="D127" s="104" t="s">
        <v>191</v>
      </c>
      <c r="E127" s="104" t="s">
        <v>605</v>
      </c>
      <c r="F127" s="107" t="s">
        <v>606</v>
      </c>
      <c r="G127" s="109">
        <v>0</v>
      </c>
      <c r="H127" s="108">
        <v>300000</v>
      </c>
      <c r="I127" s="108">
        <f t="shared" si="1"/>
        <v>-4474750</v>
      </c>
      <c r="J127" s="110"/>
    </row>
    <row r="128" spans="1:10" s="111" customFormat="1" ht="33.75" customHeight="1" x14ac:dyDescent="0.25">
      <c r="A128" s="104" t="s">
        <v>607</v>
      </c>
      <c r="B128" s="105">
        <v>45225</v>
      </c>
      <c r="C128" s="106" t="s">
        <v>190</v>
      </c>
      <c r="D128" s="104" t="s">
        <v>191</v>
      </c>
      <c r="E128" s="104" t="s">
        <v>608</v>
      </c>
      <c r="F128" s="107" t="s">
        <v>609</v>
      </c>
      <c r="G128" s="109">
        <v>0</v>
      </c>
      <c r="H128" s="108">
        <v>750000</v>
      </c>
      <c r="I128" s="108">
        <f t="shared" si="1"/>
        <v>-5224750</v>
      </c>
      <c r="J128" s="110"/>
    </row>
    <row r="129" spans="1:10" s="111" customFormat="1" ht="33.75" customHeight="1" x14ac:dyDescent="0.25">
      <c r="A129" s="104" t="s">
        <v>610</v>
      </c>
      <c r="B129" s="105">
        <v>45225</v>
      </c>
      <c r="C129" s="106" t="s">
        <v>190</v>
      </c>
      <c r="D129" s="104" t="s">
        <v>191</v>
      </c>
      <c r="E129" s="104" t="s">
        <v>611</v>
      </c>
      <c r="F129" s="107" t="s">
        <v>612</v>
      </c>
      <c r="G129" s="109">
        <v>0</v>
      </c>
      <c r="H129" s="108">
        <v>300000</v>
      </c>
      <c r="I129" s="108">
        <f t="shared" si="1"/>
        <v>-5524750</v>
      </c>
      <c r="J129" s="110"/>
    </row>
    <row r="130" spans="1:10" s="111" customFormat="1" ht="33.75" customHeight="1" x14ac:dyDescent="0.25">
      <c r="A130" s="104" t="s">
        <v>613</v>
      </c>
      <c r="B130" s="105">
        <v>45225</v>
      </c>
      <c r="C130" s="106" t="s">
        <v>190</v>
      </c>
      <c r="D130" s="104" t="s">
        <v>191</v>
      </c>
      <c r="E130" s="107" t="s">
        <v>614</v>
      </c>
      <c r="F130" s="107" t="s">
        <v>615</v>
      </c>
      <c r="G130" s="109">
        <v>0</v>
      </c>
      <c r="H130" s="108">
        <v>500000</v>
      </c>
      <c r="I130" s="108">
        <f t="shared" si="1"/>
        <v>-6024750</v>
      </c>
      <c r="J130" s="110"/>
    </row>
    <row r="131" spans="1:10" s="61" customFormat="1" ht="33.75" customHeight="1" x14ac:dyDescent="0.25">
      <c r="A131" s="41" t="s">
        <v>573</v>
      </c>
      <c r="B131" s="2">
        <v>45225</v>
      </c>
      <c r="C131" s="48" t="s">
        <v>463</v>
      </c>
      <c r="D131" s="41" t="s">
        <v>574</v>
      </c>
      <c r="E131" s="49" t="s">
        <v>575</v>
      </c>
      <c r="F131" s="49" t="s">
        <v>576</v>
      </c>
      <c r="G131" s="3">
        <v>52200</v>
      </c>
      <c r="H131" s="3">
        <v>0</v>
      </c>
      <c r="I131" s="3">
        <f t="shared" si="1"/>
        <v>-5972550</v>
      </c>
      <c r="J131" s="60"/>
    </row>
    <row r="132" spans="1:10" s="61" customFormat="1" ht="33.75" customHeight="1" x14ac:dyDescent="0.25">
      <c r="A132" s="41" t="s">
        <v>577</v>
      </c>
      <c r="B132" s="2">
        <v>45225</v>
      </c>
      <c r="C132" s="48" t="s">
        <v>245</v>
      </c>
      <c r="D132" s="41" t="s">
        <v>246</v>
      </c>
      <c r="E132" s="49" t="s">
        <v>578</v>
      </c>
      <c r="F132" s="49" t="s">
        <v>579</v>
      </c>
      <c r="G132" s="3">
        <v>6000000</v>
      </c>
      <c r="H132" s="3">
        <v>0</v>
      </c>
      <c r="I132" s="3">
        <f t="shared" si="1"/>
        <v>27450</v>
      </c>
      <c r="J132" s="60"/>
    </row>
    <row r="133" spans="1:10" s="61" customFormat="1" ht="33.75" customHeight="1" x14ac:dyDescent="0.25">
      <c r="A133" s="41" t="s">
        <v>580</v>
      </c>
      <c r="B133" s="2">
        <v>45225</v>
      </c>
      <c r="C133" s="48" t="s">
        <v>190</v>
      </c>
      <c r="D133" s="41" t="s">
        <v>191</v>
      </c>
      <c r="E133" s="41" t="s">
        <v>581</v>
      </c>
      <c r="F133" s="49" t="s">
        <v>582</v>
      </c>
      <c r="G133" s="3">
        <v>500000</v>
      </c>
      <c r="H133" s="3">
        <v>0</v>
      </c>
      <c r="I133" s="3">
        <f t="shared" ref="I133:I178" si="2">I132+G133-H133</f>
        <v>527450</v>
      </c>
      <c r="J133" s="60"/>
    </row>
    <row r="134" spans="1:10" s="61" customFormat="1" ht="33.75" customHeight="1" x14ac:dyDescent="0.25">
      <c r="A134" s="41" t="s">
        <v>583</v>
      </c>
      <c r="B134" s="2">
        <v>45225</v>
      </c>
      <c r="C134" s="48" t="s">
        <v>190</v>
      </c>
      <c r="D134" s="41" t="s">
        <v>191</v>
      </c>
      <c r="E134" s="41" t="s">
        <v>584</v>
      </c>
      <c r="F134" s="49" t="s">
        <v>585</v>
      </c>
      <c r="G134" s="3">
        <v>50000</v>
      </c>
      <c r="H134" s="3">
        <v>0</v>
      </c>
      <c r="I134" s="3">
        <f t="shared" si="2"/>
        <v>577450</v>
      </c>
      <c r="J134" s="60"/>
    </row>
    <row r="135" spans="1:10" s="61" customFormat="1" ht="33.75" customHeight="1" x14ac:dyDescent="0.25">
      <c r="A135" s="41" t="s">
        <v>586</v>
      </c>
      <c r="B135" s="2">
        <v>45225</v>
      </c>
      <c r="C135" s="48" t="s">
        <v>190</v>
      </c>
      <c r="D135" s="41" t="s">
        <v>191</v>
      </c>
      <c r="E135" s="41" t="s">
        <v>587</v>
      </c>
      <c r="F135" s="49" t="s">
        <v>588</v>
      </c>
      <c r="G135" s="3">
        <v>80000</v>
      </c>
      <c r="H135" s="3">
        <v>0</v>
      </c>
      <c r="I135" s="3">
        <f t="shared" si="2"/>
        <v>657450</v>
      </c>
      <c r="J135" s="60"/>
    </row>
    <row r="136" spans="1:10" s="61" customFormat="1" ht="33.75" customHeight="1" x14ac:dyDescent="0.25">
      <c r="A136" s="41" t="s">
        <v>616</v>
      </c>
      <c r="B136" s="2">
        <v>45225</v>
      </c>
      <c r="C136" s="48" t="s">
        <v>369</v>
      </c>
      <c r="D136" s="41" t="s">
        <v>617</v>
      </c>
      <c r="E136" s="41" t="s">
        <v>618</v>
      </c>
      <c r="F136" s="49" t="s">
        <v>619</v>
      </c>
      <c r="G136" s="4">
        <v>210000</v>
      </c>
      <c r="H136" s="3">
        <v>0</v>
      </c>
      <c r="I136" s="3">
        <f t="shared" si="2"/>
        <v>867450</v>
      </c>
      <c r="J136" s="60"/>
    </row>
    <row r="137" spans="1:10" s="61" customFormat="1" ht="33.75" customHeight="1" x14ac:dyDescent="0.25">
      <c r="A137" s="41" t="s">
        <v>623</v>
      </c>
      <c r="B137" s="2">
        <v>45230</v>
      </c>
      <c r="C137" s="48" t="s">
        <v>245</v>
      </c>
      <c r="D137" s="41" t="s">
        <v>246</v>
      </c>
      <c r="E137" s="41" t="s">
        <v>624</v>
      </c>
      <c r="F137" s="49" t="s">
        <v>625</v>
      </c>
      <c r="G137" s="4">
        <v>0</v>
      </c>
      <c r="H137" s="3">
        <v>484400</v>
      </c>
      <c r="I137" s="3">
        <f t="shared" si="2"/>
        <v>383050</v>
      </c>
      <c r="J137" s="60"/>
    </row>
    <row r="138" spans="1:10" s="61" customFormat="1" ht="33.75" customHeight="1" x14ac:dyDescent="0.25">
      <c r="A138" s="41" t="s">
        <v>626</v>
      </c>
      <c r="B138" s="2">
        <v>45230</v>
      </c>
      <c r="C138" s="48" t="s">
        <v>369</v>
      </c>
      <c r="D138" s="41" t="s">
        <v>464</v>
      </c>
      <c r="E138" s="41" t="s">
        <v>371</v>
      </c>
      <c r="F138" s="49" t="s">
        <v>627</v>
      </c>
      <c r="G138" s="4">
        <v>10000</v>
      </c>
      <c r="H138" s="3">
        <v>0</v>
      </c>
      <c r="I138" s="3">
        <f t="shared" si="2"/>
        <v>393050</v>
      </c>
      <c r="J138" s="60"/>
    </row>
    <row r="139" spans="1:10" s="61" customFormat="1" ht="33.75" customHeight="1" x14ac:dyDescent="0.25">
      <c r="A139" s="41" t="s">
        <v>628</v>
      </c>
      <c r="B139" s="2">
        <v>45230</v>
      </c>
      <c r="C139" s="48" t="s">
        <v>369</v>
      </c>
      <c r="D139" s="41" t="s">
        <v>629</v>
      </c>
      <c r="E139" s="41" t="s">
        <v>371</v>
      </c>
      <c r="F139" s="49" t="s">
        <v>630</v>
      </c>
      <c r="G139" s="4">
        <v>10000</v>
      </c>
      <c r="H139" s="3">
        <v>0</v>
      </c>
      <c r="I139" s="3">
        <f t="shared" si="2"/>
        <v>403050</v>
      </c>
      <c r="J139" s="60"/>
    </row>
    <row r="140" spans="1:10" s="61" customFormat="1" ht="33.75" customHeight="1" x14ac:dyDescent="0.25">
      <c r="A140" s="41" t="s">
        <v>631</v>
      </c>
      <c r="B140" s="2">
        <v>45230</v>
      </c>
      <c r="C140" s="48" t="s">
        <v>369</v>
      </c>
      <c r="D140" s="41" t="s">
        <v>632</v>
      </c>
      <c r="E140" s="41" t="s">
        <v>371</v>
      </c>
      <c r="F140" s="49" t="s">
        <v>633</v>
      </c>
      <c r="G140" s="4">
        <v>10000</v>
      </c>
      <c r="H140" s="3">
        <v>0</v>
      </c>
      <c r="I140" s="3">
        <f t="shared" si="2"/>
        <v>413050</v>
      </c>
      <c r="J140" s="60"/>
    </row>
    <row r="141" spans="1:10" s="61" customFormat="1" ht="33.75" customHeight="1" x14ac:dyDescent="0.25">
      <c r="A141" s="41" t="s">
        <v>634</v>
      </c>
      <c r="B141" s="2">
        <v>45230</v>
      </c>
      <c r="C141" s="48" t="s">
        <v>463</v>
      </c>
      <c r="D141" s="41" t="s">
        <v>635</v>
      </c>
      <c r="E141" s="41" t="s">
        <v>636</v>
      </c>
      <c r="F141" s="49" t="s">
        <v>637</v>
      </c>
      <c r="G141" s="4">
        <v>5200</v>
      </c>
      <c r="H141" s="3">
        <v>0</v>
      </c>
      <c r="I141" s="3">
        <f t="shared" si="2"/>
        <v>418250</v>
      </c>
      <c r="J141" s="60"/>
    </row>
    <row r="142" spans="1:10" s="61" customFormat="1" ht="33.75" customHeight="1" x14ac:dyDescent="0.25">
      <c r="A142" s="41" t="s">
        <v>638</v>
      </c>
      <c r="B142" s="2">
        <v>45230</v>
      </c>
      <c r="C142" s="48" t="s">
        <v>463</v>
      </c>
      <c r="D142" s="41" t="s">
        <v>537</v>
      </c>
      <c r="E142" s="41" t="s">
        <v>639</v>
      </c>
      <c r="F142" s="49" t="s">
        <v>640</v>
      </c>
      <c r="G142" s="4">
        <v>7500</v>
      </c>
      <c r="H142" s="3">
        <v>0</v>
      </c>
      <c r="I142" s="3">
        <f t="shared" si="2"/>
        <v>425750</v>
      </c>
      <c r="J142" s="60"/>
    </row>
    <row r="143" spans="1:10" s="61" customFormat="1" ht="33.75" customHeight="1" x14ac:dyDescent="0.25">
      <c r="A143" s="41"/>
      <c r="B143" s="2"/>
      <c r="C143" s="48"/>
      <c r="D143" s="41"/>
      <c r="E143" s="41"/>
      <c r="F143" s="49"/>
      <c r="G143" s="4"/>
      <c r="H143" s="3"/>
      <c r="I143" s="3">
        <f t="shared" si="2"/>
        <v>425750</v>
      </c>
      <c r="J143" s="60"/>
    </row>
    <row r="144" spans="1:10" s="61" customFormat="1" ht="33.75" customHeight="1" x14ac:dyDescent="0.25">
      <c r="A144" s="41"/>
      <c r="B144" s="2"/>
      <c r="C144" s="48"/>
      <c r="D144" s="41"/>
      <c r="E144" s="41"/>
      <c r="F144" s="49"/>
      <c r="G144" s="3"/>
      <c r="H144" s="3"/>
      <c r="I144" s="3">
        <f t="shared" si="2"/>
        <v>425750</v>
      </c>
      <c r="J144" s="60"/>
    </row>
    <row r="145" spans="1:10" s="61" customFormat="1" ht="33.75" customHeight="1" x14ac:dyDescent="0.25">
      <c r="A145" s="41"/>
      <c r="B145" s="2"/>
      <c r="C145" s="48"/>
      <c r="D145" s="41"/>
      <c r="E145" s="41"/>
      <c r="F145" s="49"/>
      <c r="G145" s="3"/>
      <c r="H145" s="3"/>
      <c r="I145" s="3">
        <f t="shared" si="2"/>
        <v>425750</v>
      </c>
      <c r="J145" s="60"/>
    </row>
    <row r="146" spans="1:10" s="61" customFormat="1" ht="33.75" customHeight="1" x14ac:dyDescent="0.25">
      <c r="A146" s="41"/>
      <c r="B146" s="2"/>
      <c r="C146" s="48"/>
      <c r="D146" s="41"/>
      <c r="E146" s="41"/>
      <c r="F146" s="49"/>
      <c r="G146" s="4"/>
      <c r="H146" s="3"/>
      <c r="I146" s="3">
        <f t="shared" si="2"/>
        <v>425750</v>
      </c>
      <c r="J146" s="60"/>
    </row>
    <row r="147" spans="1:10" s="61" customFormat="1" ht="33.75" customHeight="1" x14ac:dyDescent="0.25">
      <c r="A147" s="41"/>
      <c r="B147" s="2"/>
      <c r="C147" s="48"/>
      <c r="D147" s="41"/>
      <c r="E147" s="41"/>
      <c r="F147" s="49"/>
      <c r="G147" s="4"/>
      <c r="H147" s="3"/>
      <c r="I147" s="3">
        <f t="shared" si="2"/>
        <v>425750</v>
      </c>
      <c r="J147" s="60"/>
    </row>
    <row r="148" spans="1:10" s="61" customFormat="1" ht="33.75" customHeight="1" x14ac:dyDescent="0.25">
      <c r="A148" s="41"/>
      <c r="B148" s="2"/>
      <c r="C148" s="48"/>
      <c r="D148" s="41"/>
      <c r="E148" s="41"/>
      <c r="F148" s="49"/>
      <c r="G148" s="4"/>
      <c r="H148" s="3"/>
      <c r="I148" s="3">
        <f t="shared" si="2"/>
        <v>425750</v>
      </c>
      <c r="J148" s="60"/>
    </row>
    <row r="149" spans="1:10" s="61" customFormat="1" ht="33.75" customHeight="1" x14ac:dyDescent="0.25">
      <c r="A149" s="41"/>
      <c r="B149" s="2"/>
      <c r="C149" s="48"/>
      <c r="D149" s="41"/>
      <c r="E149" s="41"/>
      <c r="F149" s="49"/>
      <c r="G149" s="4"/>
      <c r="H149" s="3"/>
      <c r="I149" s="3">
        <f t="shared" si="2"/>
        <v>425750</v>
      </c>
      <c r="J149" s="60"/>
    </row>
    <row r="150" spans="1:10" s="61" customFormat="1" ht="33.75" customHeight="1" x14ac:dyDescent="0.25">
      <c r="A150" s="41"/>
      <c r="B150" s="2"/>
      <c r="C150" s="48"/>
      <c r="D150" s="41"/>
      <c r="E150" s="41"/>
      <c r="F150" s="49"/>
      <c r="G150" s="4"/>
      <c r="H150" s="3"/>
      <c r="I150" s="3">
        <f t="shared" si="2"/>
        <v>425750</v>
      </c>
      <c r="J150" s="60"/>
    </row>
    <row r="151" spans="1:10" s="61" customFormat="1" ht="33.75" customHeight="1" x14ac:dyDescent="0.25">
      <c r="A151" s="41"/>
      <c r="B151" s="2"/>
      <c r="C151" s="48"/>
      <c r="D151" s="41"/>
      <c r="E151" s="41"/>
      <c r="F151" s="49"/>
      <c r="G151" s="4"/>
      <c r="H151" s="3"/>
      <c r="I151" s="3">
        <f t="shared" si="2"/>
        <v>425750</v>
      </c>
      <c r="J151" s="60"/>
    </row>
    <row r="152" spans="1:10" s="61" customFormat="1" ht="33.75" customHeight="1" x14ac:dyDescent="0.25">
      <c r="A152" s="41"/>
      <c r="B152" s="2"/>
      <c r="C152" s="48"/>
      <c r="D152" s="41"/>
      <c r="E152" s="41"/>
      <c r="F152" s="49"/>
      <c r="G152" s="4"/>
      <c r="H152" s="3"/>
      <c r="I152" s="3">
        <f t="shared" si="2"/>
        <v>425750</v>
      </c>
      <c r="J152" s="60"/>
    </row>
    <row r="153" spans="1:10" s="61" customFormat="1" ht="33.75" customHeight="1" x14ac:dyDescent="0.25">
      <c r="A153" s="41"/>
      <c r="B153" s="2"/>
      <c r="C153" s="48"/>
      <c r="D153" s="41"/>
      <c r="E153" s="41"/>
      <c r="F153" s="49"/>
      <c r="G153" s="3"/>
      <c r="H153" s="3"/>
      <c r="I153" s="3">
        <f t="shared" si="2"/>
        <v>425750</v>
      </c>
      <c r="J153" s="60"/>
    </row>
    <row r="154" spans="1:10" s="61" customFormat="1" ht="33.75" customHeight="1" x14ac:dyDescent="0.25">
      <c r="A154" s="41"/>
      <c r="B154" s="2"/>
      <c r="C154" s="48"/>
      <c r="D154" s="41"/>
      <c r="E154" s="41"/>
      <c r="F154" s="49"/>
      <c r="G154" s="3"/>
      <c r="H154" s="3"/>
      <c r="I154" s="3">
        <f t="shared" si="2"/>
        <v>425750</v>
      </c>
      <c r="J154" s="60"/>
    </row>
    <row r="155" spans="1:10" s="61" customFormat="1" ht="33.75" customHeight="1" x14ac:dyDescent="0.25">
      <c r="A155" s="41"/>
      <c r="B155" s="2"/>
      <c r="C155" s="48"/>
      <c r="D155" s="41"/>
      <c r="E155" s="41"/>
      <c r="F155" s="49"/>
      <c r="G155" s="3"/>
      <c r="H155" s="3"/>
      <c r="I155" s="3">
        <f t="shared" si="2"/>
        <v>425750</v>
      </c>
      <c r="J155" s="60"/>
    </row>
    <row r="156" spans="1:10" s="61" customFormat="1" ht="33.75" customHeight="1" x14ac:dyDescent="0.25">
      <c r="A156" s="41"/>
      <c r="B156" s="2"/>
      <c r="C156" s="48"/>
      <c r="D156" s="41"/>
      <c r="E156" s="41"/>
      <c r="F156" s="49"/>
      <c r="G156" s="3"/>
      <c r="H156" s="3"/>
      <c r="I156" s="3">
        <f t="shared" si="2"/>
        <v>425750</v>
      </c>
      <c r="J156" s="60"/>
    </row>
    <row r="157" spans="1:10" s="61" customFormat="1" ht="33.75" customHeight="1" x14ac:dyDescent="0.25">
      <c r="A157" s="41"/>
      <c r="B157" s="2"/>
      <c r="C157" s="48"/>
      <c r="D157" s="41"/>
      <c r="E157" s="41"/>
      <c r="F157" s="49"/>
      <c r="G157" s="3"/>
      <c r="H157" s="3"/>
      <c r="I157" s="3">
        <f t="shared" si="2"/>
        <v>425750</v>
      </c>
      <c r="J157" s="60"/>
    </row>
    <row r="158" spans="1:10" s="61" customFormat="1" ht="33.75" customHeight="1" x14ac:dyDescent="0.25">
      <c r="A158" s="41"/>
      <c r="B158" s="2"/>
      <c r="C158" s="48"/>
      <c r="D158" s="41"/>
      <c r="E158" s="41"/>
      <c r="F158" s="49"/>
      <c r="G158" s="3"/>
      <c r="H158" s="3"/>
      <c r="I158" s="3">
        <f t="shared" si="2"/>
        <v>425750</v>
      </c>
      <c r="J158" s="60"/>
    </row>
    <row r="159" spans="1:10" s="61" customFormat="1" ht="33.75" customHeight="1" x14ac:dyDescent="0.25">
      <c r="A159" s="41"/>
      <c r="B159" s="2"/>
      <c r="C159" s="48"/>
      <c r="D159" s="41"/>
      <c r="E159" s="41"/>
      <c r="F159" s="49"/>
      <c r="G159" s="3"/>
      <c r="H159" s="3"/>
      <c r="I159" s="3">
        <f t="shared" si="2"/>
        <v>425750</v>
      </c>
      <c r="J159" s="60"/>
    </row>
    <row r="160" spans="1:10" s="61" customFormat="1" ht="33.75" customHeight="1" x14ac:dyDescent="0.25">
      <c r="A160" s="41"/>
      <c r="B160" s="2"/>
      <c r="C160" s="48"/>
      <c r="D160" s="41"/>
      <c r="E160" s="41"/>
      <c r="F160" s="49"/>
      <c r="G160" s="3"/>
      <c r="H160" s="3"/>
      <c r="I160" s="3">
        <f t="shared" si="2"/>
        <v>425750</v>
      </c>
      <c r="J160" s="60"/>
    </row>
    <row r="161" spans="1:10" s="61" customFormat="1" ht="33.75" customHeight="1" x14ac:dyDescent="0.25">
      <c r="A161" s="41"/>
      <c r="B161" s="2"/>
      <c r="C161" s="48"/>
      <c r="D161" s="41"/>
      <c r="E161" s="41"/>
      <c r="F161" s="49"/>
      <c r="G161" s="3"/>
      <c r="H161" s="3"/>
      <c r="I161" s="3">
        <f t="shared" si="2"/>
        <v>425750</v>
      </c>
      <c r="J161" s="60"/>
    </row>
    <row r="162" spans="1:10" s="61" customFormat="1" ht="33.75" customHeight="1" x14ac:dyDescent="0.25">
      <c r="A162" s="41"/>
      <c r="B162" s="2"/>
      <c r="C162" s="48"/>
      <c r="D162" s="41"/>
      <c r="E162" s="41"/>
      <c r="F162" s="49"/>
      <c r="G162" s="3"/>
      <c r="H162" s="3"/>
      <c r="I162" s="3">
        <f t="shared" si="2"/>
        <v>425750</v>
      </c>
      <c r="J162" s="60"/>
    </row>
    <row r="163" spans="1:10" s="61" customFormat="1" ht="33.75" customHeight="1" x14ac:dyDescent="0.25">
      <c r="A163" s="41"/>
      <c r="B163" s="2"/>
      <c r="C163" s="48"/>
      <c r="D163" s="41"/>
      <c r="E163" s="41"/>
      <c r="F163" s="49"/>
      <c r="G163" s="3"/>
      <c r="H163" s="3"/>
      <c r="I163" s="3">
        <f t="shared" si="2"/>
        <v>425750</v>
      </c>
      <c r="J163" s="60"/>
    </row>
    <row r="164" spans="1:10" s="61" customFormat="1" ht="33.75" customHeight="1" x14ac:dyDescent="0.25">
      <c r="A164" s="41"/>
      <c r="B164" s="2"/>
      <c r="C164" s="48"/>
      <c r="D164" s="41"/>
      <c r="E164" s="41"/>
      <c r="F164" s="49"/>
      <c r="G164" s="3"/>
      <c r="H164" s="3"/>
      <c r="I164" s="3">
        <f t="shared" si="2"/>
        <v>425750</v>
      </c>
      <c r="J164" s="60"/>
    </row>
    <row r="165" spans="1:10" s="61" customFormat="1" ht="33.75" customHeight="1" x14ac:dyDescent="0.25">
      <c r="A165" s="41"/>
      <c r="B165" s="2"/>
      <c r="C165" s="48"/>
      <c r="D165" s="41"/>
      <c r="E165" s="41"/>
      <c r="F165" s="49"/>
      <c r="G165" s="3"/>
      <c r="H165" s="3"/>
      <c r="I165" s="3">
        <f t="shared" si="2"/>
        <v>425750</v>
      </c>
      <c r="J165" s="60"/>
    </row>
    <row r="166" spans="1:10" s="61" customFormat="1" ht="33.75" customHeight="1" x14ac:dyDescent="0.25">
      <c r="A166" s="41"/>
      <c r="B166" s="2"/>
      <c r="C166" s="48"/>
      <c r="D166" s="41"/>
      <c r="E166" s="41"/>
      <c r="F166" s="49"/>
      <c r="G166" s="3"/>
      <c r="H166" s="3"/>
      <c r="I166" s="3">
        <f t="shared" si="2"/>
        <v>425750</v>
      </c>
      <c r="J166" s="60"/>
    </row>
    <row r="167" spans="1:10" s="61" customFormat="1" ht="33.75" customHeight="1" x14ac:dyDescent="0.25">
      <c r="A167" s="41"/>
      <c r="B167" s="2"/>
      <c r="C167" s="48"/>
      <c r="D167" s="41"/>
      <c r="E167" s="41"/>
      <c r="F167" s="49"/>
      <c r="G167" s="3"/>
      <c r="H167" s="3"/>
      <c r="I167" s="3">
        <f t="shared" si="2"/>
        <v>425750</v>
      </c>
      <c r="J167" s="60"/>
    </row>
    <row r="168" spans="1:10" s="61" customFormat="1" ht="33.75" customHeight="1" x14ac:dyDescent="0.25">
      <c r="A168" s="41"/>
      <c r="B168" s="2"/>
      <c r="C168" s="48"/>
      <c r="D168" s="41"/>
      <c r="E168" s="41"/>
      <c r="F168" s="49"/>
      <c r="G168" s="3"/>
      <c r="H168" s="3"/>
      <c r="I168" s="3">
        <f t="shared" si="2"/>
        <v>425750</v>
      </c>
      <c r="J168" s="60"/>
    </row>
    <row r="169" spans="1:10" s="61" customFormat="1" ht="33.75" customHeight="1" x14ac:dyDescent="0.25">
      <c r="A169" s="41"/>
      <c r="B169" s="2"/>
      <c r="C169" s="48"/>
      <c r="D169" s="41"/>
      <c r="E169" s="41"/>
      <c r="F169" s="49"/>
      <c r="G169" s="3"/>
      <c r="H169" s="3"/>
      <c r="I169" s="3">
        <f t="shared" si="2"/>
        <v>425750</v>
      </c>
      <c r="J169" s="60"/>
    </row>
    <row r="170" spans="1:10" s="61" customFormat="1" ht="33.75" customHeight="1" x14ac:dyDescent="0.25">
      <c r="A170" s="41"/>
      <c r="B170" s="2"/>
      <c r="C170" s="48"/>
      <c r="D170" s="41"/>
      <c r="E170" s="41"/>
      <c r="F170" s="49"/>
      <c r="G170" s="3"/>
      <c r="H170" s="3"/>
      <c r="I170" s="3">
        <f t="shared" si="2"/>
        <v>425750</v>
      </c>
      <c r="J170" s="60"/>
    </row>
    <row r="171" spans="1:10" s="61" customFormat="1" ht="33.75" customHeight="1" x14ac:dyDescent="0.25">
      <c r="A171" s="41"/>
      <c r="B171" s="2"/>
      <c r="C171" s="48"/>
      <c r="D171" s="41"/>
      <c r="E171" s="41"/>
      <c r="F171" s="49"/>
      <c r="G171" s="3"/>
      <c r="H171" s="3"/>
      <c r="I171" s="3">
        <f t="shared" si="2"/>
        <v>425750</v>
      </c>
      <c r="J171" s="60"/>
    </row>
    <row r="172" spans="1:10" s="61" customFormat="1" ht="33.75" customHeight="1" x14ac:dyDescent="0.25">
      <c r="A172" s="41"/>
      <c r="B172" s="2"/>
      <c r="C172" s="48"/>
      <c r="D172" s="41"/>
      <c r="E172" s="41"/>
      <c r="F172" s="49"/>
      <c r="G172" s="3"/>
      <c r="H172" s="3"/>
      <c r="I172" s="3">
        <f t="shared" si="2"/>
        <v>425750</v>
      </c>
      <c r="J172" s="60"/>
    </row>
    <row r="173" spans="1:10" s="99" customFormat="1" ht="33.75" customHeight="1" x14ac:dyDescent="0.25">
      <c r="A173" s="41"/>
      <c r="B173" s="2"/>
      <c r="C173" s="48"/>
      <c r="D173" s="41"/>
      <c r="E173" s="41"/>
      <c r="F173" s="49"/>
      <c r="G173" s="3"/>
      <c r="H173" s="3"/>
      <c r="I173" s="3">
        <f t="shared" si="2"/>
        <v>425750</v>
      </c>
      <c r="J173" s="60"/>
    </row>
    <row r="174" spans="1:10" s="61" customFormat="1" ht="33.75" customHeight="1" x14ac:dyDescent="0.25">
      <c r="A174" s="63"/>
      <c r="B174" s="64"/>
      <c r="C174" s="65"/>
      <c r="D174" s="63"/>
      <c r="E174" s="63"/>
      <c r="F174" s="66"/>
      <c r="G174" s="68"/>
      <c r="H174" s="68"/>
      <c r="I174" s="3">
        <f t="shared" si="2"/>
        <v>425750</v>
      </c>
      <c r="J174" s="69"/>
    </row>
    <row r="175" spans="1:10" s="61" customFormat="1" ht="33.75" customHeight="1" x14ac:dyDescent="0.25">
      <c r="A175" s="41"/>
      <c r="B175" s="2"/>
      <c r="C175" s="48"/>
      <c r="D175" s="41"/>
      <c r="E175" s="41"/>
      <c r="F175" s="49"/>
      <c r="G175" s="3"/>
      <c r="H175" s="3"/>
      <c r="I175" s="3">
        <f t="shared" si="2"/>
        <v>425750</v>
      </c>
      <c r="J175" s="60"/>
    </row>
    <row r="176" spans="1:10" s="61" customFormat="1" ht="33.75" customHeight="1" x14ac:dyDescent="0.25">
      <c r="A176" s="41"/>
      <c r="B176" s="2"/>
      <c r="C176" s="48"/>
      <c r="D176" s="41"/>
      <c r="E176" s="41"/>
      <c r="F176" s="49"/>
      <c r="G176" s="3"/>
      <c r="H176" s="3"/>
      <c r="I176" s="3">
        <f t="shared" si="2"/>
        <v>425750</v>
      </c>
      <c r="J176" s="60"/>
    </row>
    <row r="177" spans="1:10" s="61" customFormat="1" ht="33.75" customHeight="1" x14ac:dyDescent="0.25">
      <c r="A177" s="41"/>
      <c r="B177" s="2"/>
      <c r="C177" s="48"/>
      <c r="D177" s="41"/>
      <c r="E177" s="41"/>
      <c r="F177" s="49"/>
      <c r="G177" s="3"/>
      <c r="H177" s="3"/>
      <c r="I177" s="3">
        <f t="shared" si="2"/>
        <v>425750</v>
      </c>
      <c r="J177" s="60"/>
    </row>
    <row r="178" spans="1:10" s="78" customFormat="1" ht="33.75" customHeight="1" thickBot="1" x14ac:dyDescent="0.3">
      <c r="A178" s="71"/>
      <c r="B178" s="72"/>
      <c r="C178" s="73"/>
      <c r="D178" s="71"/>
      <c r="E178" s="71"/>
      <c r="F178" s="74"/>
      <c r="G178" s="76"/>
      <c r="H178" s="76"/>
      <c r="I178" s="3">
        <f t="shared" si="2"/>
        <v>425750</v>
      </c>
      <c r="J178" s="77"/>
    </row>
    <row r="179" spans="1:10" s="61" customFormat="1" ht="33.75" customHeight="1" thickTop="1" x14ac:dyDescent="0.25">
      <c r="A179" s="63"/>
      <c r="B179" s="64"/>
      <c r="C179" s="65"/>
      <c r="D179" s="63"/>
      <c r="E179" s="63"/>
      <c r="F179" s="66"/>
      <c r="G179" s="68"/>
      <c r="H179" s="68"/>
      <c r="I179" s="68"/>
      <c r="J179" s="69"/>
    </row>
    <row r="180" spans="1:10" s="61" customFormat="1" ht="33.75" customHeight="1" x14ac:dyDescent="0.25">
      <c r="A180" s="41"/>
      <c r="B180" s="2"/>
      <c r="C180" s="48"/>
      <c r="D180" s="41"/>
      <c r="E180" s="41"/>
      <c r="F180" s="49"/>
      <c r="G180" s="3"/>
      <c r="H180" s="3"/>
      <c r="I180" s="3"/>
      <c r="J180" s="60"/>
    </row>
    <row r="181" spans="1:10" s="61" customFormat="1" ht="33.75" customHeight="1" x14ac:dyDescent="0.25">
      <c r="A181" s="41"/>
      <c r="B181" s="2"/>
      <c r="C181" s="48"/>
      <c r="D181" s="41"/>
      <c r="E181" s="41"/>
      <c r="F181" s="49"/>
      <c r="G181" s="103"/>
      <c r="H181" s="3"/>
      <c r="I181" s="3"/>
      <c r="J181" s="60"/>
    </row>
    <row r="182" spans="1:10" s="61" customFormat="1" ht="33.75" customHeight="1" x14ac:dyDescent="0.25">
      <c r="A182" s="41"/>
      <c r="B182" s="2"/>
      <c r="C182" s="48"/>
      <c r="D182" s="41"/>
      <c r="E182" s="41"/>
      <c r="F182" s="49"/>
      <c r="G182" s="3"/>
      <c r="H182" s="3"/>
      <c r="I182" s="3"/>
      <c r="J182" s="60"/>
    </row>
    <row r="183" spans="1:10" s="61" customFormat="1" ht="33.75" customHeight="1" x14ac:dyDescent="0.25">
      <c r="A183" s="41"/>
      <c r="B183" s="2"/>
      <c r="C183" s="48"/>
      <c r="D183" s="41"/>
      <c r="E183" s="41"/>
      <c r="F183" s="49"/>
      <c r="G183" s="3"/>
      <c r="H183" s="3"/>
      <c r="I183" s="3"/>
      <c r="J183" s="60"/>
    </row>
    <row r="184" spans="1:10" s="61" customFormat="1" ht="33.75" customHeight="1" x14ac:dyDescent="0.25">
      <c r="A184" s="41"/>
      <c r="B184" s="2"/>
      <c r="C184" s="48"/>
      <c r="D184" s="41"/>
      <c r="E184" s="41"/>
      <c r="F184" s="49"/>
      <c r="G184" s="3"/>
      <c r="H184" s="3"/>
      <c r="I184" s="3"/>
      <c r="J184" s="60"/>
    </row>
    <row r="185" spans="1:10" s="61" customFormat="1" ht="33.75" customHeight="1" x14ac:dyDescent="0.25">
      <c r="A185" s="41"/>
      <c r="B185" s="2"/>
      <c r="C185" s="48"/>
      <c r="D185" s="41"/>
      <c r="E185" s="41"/>
      <c r="F185" s="49"/>
      <c r="G185" s="4"/>
      <c r="H185" s="3"/>
      <c r="I185" s="3"/>
      <c r="J185" s="60"/>
    </row>
    <row r="186" spans="1:10" s="61" customFormat="1" ht="33.75" customHeight="1" x14ac:dyDescent="0.25">
      <c r="A186" s="41"/>
      <c r="B186" s="2"/>
      <c r="C186" s="48"/>
      <c r="D186" s="41"/>
      <c r="E186" s="41"/>
      <c r="F186" s="49"/>
      <c r="G186" s="4"/>
      <c r="H186" s="3"/>
      <c r="I186" s="3"/>
      <c r="J186" s="60"/>
    </row>
    <row r="187" spans="1:10" s="61" customFormat="1" ht="33.75" customHeight="1" x14ac:dyDescent="0.25">
      <c r="A187" s="41"/>
      <c r="B187" s="2"/>
      <c r="C187" s="48"/>
      <c r="D187" s="41"/>
      <c r="E187" s="41"/>
      <c r="F187" s="49"/>
      <c r="G187" s="4"/>
      <c r="H187" s="3"/>
      <c r="I187" s="3"/>
      <c r="J187" s="60"/>
    </row>
    <row r="188" spans="1:10" s="61" customFormat="1" ht="33.75" customHeight="1" x14ac:dyDescent="0.25">
      <c r="A188" s="41"/>
      <c r="B188" s="2"/>
      <c r="C188" s="48"/>
      <c r="D188" s="41"/>
      <c r="E188" s="41"/>
      <c r="F188" s="49"/>
      <c r="G188" s="4"/>
      <c r="H188" s="3"/>
      <c r="I188" s="3"/>
      <c r="J188" s="60"/>
    </row>
    <row r="189" spans="1:10" s="61" customFormat="1" ht="33.75" customHeight="1" x14ac:dyDescent="0.25">
      <c r="A189" s="41"/>
      <c r="B189" s="2"/>
      <c r="C189" s="48"/>
      <c r="D189" s="41"/>
      <c r="E189" s="41"/>
      <c r="F189" s="49"/>
      <c r="G189" s="4"/>
      <c r="H189" s="3"/>
      <c r="I189" s="3"/>
      <c r="J189" s="60"/>
    </row>
    <row r="190" spans="1:10" s="61" customFormat="1" ht="33.75" customHeight="1" x14ac:dyDescent="0.25">
      <c r="A190" s="41"/>
      <c r="B190" s="2"/>
      <c r="C190" s="48"/>
      <c r="D190" s="41"/>
      <c r="E190" s="41"/>
      <c r="F190" s="49"/>
      <c r="G190" s="4"/>
      <c r="H190" s="3"/>
      <c r="I190" s="3"/>
      <c r="J190" s="60"/>
    </row>
    <row r="191" spans="1:10" s="61" customFormat="1" ht="33.75" customHeight="1" x14ac:dyDescent="0.25">
      <c r="A191" s="41"/>
      <c r="B191" s="2"/>
      <c r="C191" s="48"/>
      <c r="D191" s="41"/>
      <c r="E191" s="41"/>
      <c r="F191" s="49"/>
      <c r="G191" s="4"/>
      <c r="H191" s="3"/>
      <c r="I191" s="3"/>
      <c r="J191" s="60"/>
    </row>
    <row r="192" spans="1:10" s="61" customFormat="1" ht="33.75" customHeight="1" x14ac:dyDescent="0.25">
      <c r="A192" s="41"/>
      <c r="B192" s="2"/>
      <c r="C192" s="48"/>
      <c r="D192" s="41"/>
      <c r="E192" s="41"/>
      <c r="F192" s="49"/>
      <c r="G192" s="4"/>
      <c r="H192" s="3"/>
      <c r="I192" s="3"/>
      <c r="J192" s="60"/>
    </row>
    <row r="193" spans="1:10" s="61" customFormat="1" ht="33.75" customHeight="1" x14ac:dyDescent="0.25">
      <c r="A193" s="41"/>
      <c r="B193" s="2"/>
      <c r="C193" s="48"/>
      <c r="D193" s="41"/>
      <c r="E193" s="41"/>
      <c r="F193" s="49"/>
      <c r="G193" s="4"/>
      <c r="H193" s="3"/>
      <c r="I193" s="3"/>
      <c r="J193" s="60"/>
    </row>
    <row r="194" spans="1:10" s="61" customFormat="1" ht="33.75" customHeight="1" x14ac:dyDescent="0.25">
      <c r="A194" s="41"/>
      <c r="B194" s="2"/>
      <c r="C194" s="48"/>
      <c r="D194" s="41"/>
      <c r="E194" s="41"/>
      <c r="F194" s="49"/>
      <c r="G194" s="4"/>
      <c r="H194" s="3"/>
      <c r="I194" s="3"/>
      <c r="J194" s="60"/>
    </row>
    <row r="195" spans="1:10" s="61" customFormat="1" ht="33.75" customHeight="1" x14ac:dyDescent="0.25">
      <c r="A195" s="41"/>
      <c r="B195" s="2"/>
      <c r="C195" s="48"/>
      <c r="D195" s="41"/>
      <c r="E195" s="41"/>
      <c r="F195" s="49"/>
      <c r="G195" s="4"/>
      <c r="H195" s="3"/>
      <c r="I195" s="3"/>
      <c r="J195" s="60"/>
    </row>
    <row r="196" spans="1:10" s="61" customFormat="1" ht="33.75" customHeight="1" x14ac:dyDescent="0.25">
      <c r="A196" s="41"/>
      <c r="B196" s="2"/>
      <c r="C196" s="48"/>
      <c r="D196" s="41"/>
      <c r="E196" s="41"/>
      <c r="F196" s="49"/>
      <c r="G196" s="4"/>
      <c r="H196" s="3"/>
      <c r="I196" s="3"/>
      <c r="J196" s="60"/>
    </row>
    <row r="197" spans="1:10" s="61" customFormat="1" ht="33.75" customHeight="1" x14ac:dyDescent="0.25">
      <c r="A197" s="41"/>
      <c r="B197" s="2"/>
      <c r="C197" s="48"/>
      <c r="D197" s="41"/>
      <c r="E197" s="41"/>
      <c r="F197" s="49"/>
      <c r="G197" s="4"/>
      <c r="H197" s="3"/>
      <c r="I197" s="3"/>
      <c r="J197" s="60"/>
    </row>
    <row r="198" spans="1:10" s="61" customFormat="1" ht="33.75" customHeight="1" x14ac:dyDescent="0.25">
      <c r="A198" s="41"/>
      <c r="B198" s="2"/>
      <c r="C198" s="48"/>
      <c r="D198" s="41"/>
      <c r="E198" s="41"/>
      <c r="F198" s="49"/>
      <c r="G198" s="4"/>
      <c r="H198" s="3"/>
      <c r="I198" s="3"/>
      <c r="J198" s="60"/>
    </row>
    <row r="199" spans="1:10" s="61" customFormat="1" ht="33.75" customHeight="1" x14ac:dyDescent="0.25">
      <c r="A199" s="41"/>
      <c r="B199" s="2"/>
      <c r="C199" s="48"/>
      <c r="D199" s="41"/>
      <c r="E199" s="41"/>
      <c r="F199" s="49"/>
      <c r="G199" s="4"/>
      <c r="H199" s="3"/>
      <c r="I199" s="3"/>
      <c r="J199" s="60"/>
    </row>
    <row r="200" spans="1:10" s="61" customFormat="1" ht="33.75" customHeight="1" x14ac:dyDescent="0.25">
      <c r="A200" s="41"/>
      <c r="B200" s="2"/>
      <c r="C200" s="48"/>
      <c r="D200" s="41"/>
      <c r="E200" s="41"/>
      <c r="F200" s="49"/>
      <c r="G200" s="4"/>
      <c r="H200" s="3"/>
      <c r="I200" s="3"/>
      <c r="J200" s="60"/>
    </row>
    <row r="201" spans="1:10" s="61" customFormat="1" ht="33.75" customHeight="1" x14ac:dyDescent="0.25">
      <c r="A201" s="41"/>
      <c r="B201" s="2"/>
      <c r="C201" s="48"/>
      <c r="D201" s="41"/>
      <c r="E201" s="41"/>
      <c r="F201" s="49"/>
      <c r="G201" s="4"/>
      <c r="H201" s="3"/>
      <c r="I201" s="3"/>
      <c r="J201" s="60"/>
    </row>
    <row r="202" spans="1:10" s="61" customFormat="1" ht="33.75" customHeight="1" x14ac:dyDescent="0.25">
      <c r="A202" s="41"/>
      <c r="B202" s="2"/>
      <c r="C202" s="48"/>
      <c r="D202" s="41"/>
      <c r="E202" s="41"/>
      <c r="F202" s="49"/>
      <c r="G202" s="4"/>
      <c r="H202" s="3"/>
      <c r="I202" s="3"/>
      <c r="J202" s="60"/>
    </row>
    <row r="203" spans="1:10" s="61" customFormat="1" ht="33.75" customHeight="1" x14ac:dyDescent="0.25">
      <c r="A203" s="41"/>
      <c r="B203" s="2"/>
      <c r="C203" s="48"/>
      <c r="D203" s="41"/>
      <c r="E203" s="41"/>
      <c r="F203" s="49"/>
      <c r="G203" s="4"/>
      <c r="H203" s="3"/>
      <c r="I203" s="3"/>
      <c r="J203" s="60"/>
    </row>
    <row r="204" spans="1:10" s="61" customFormat="1" ht="33.75" customHeight="1" x14ac:dyDescent="0.25">
      <c r="A204" s="63"/>
      <c r="B204" s="64"/>
      <c r="C204" s="65"/>
      <c r="D204" s="63"/>
      <c r="E204" s="63"/>
      <c r="F204" s="66"/>
      <c r="G204" s="67"/>
      <c r="H204" s="68"/>
      <c r="I204" s="3"/>
      <c r="J204" s="69"/>
    </row>
    <row r="205" spans="1:10" s="61" customFormat="1" ht="33.75" customHeight="1" x14ac:dyDescent="0.25">
      <c r="A205" s="63"/>
      <c r="B205" s="64"/>
      <c r="C205" s="65"/>
      <c r="D205" s="63"/>
      <c r="E205" s="63"/>
      <c r="F205" s="66"/>
      <c r="G205" s="67"/>
      <c r="H205" s="68"/>
      <c r="I205" s="3"/>
      <c r="J205" s="69"/>
    </row>
    <row r="206" spans="1:10" s="61" customFormat="1" ht="33.75" customHeight="1" x14ac:dyDescent="0.25">
      <c r="A206" s="63"/>
      <c r="B206" s="64"/>
      <c r="C206" s="65"/>
      <c r="D206" s="63"/>
      <c r="E206" s="63"/>
      <c r="F206" s="66"/>
      <c r="G206" s="67"/>
      <c r="H206" s="68"/>
      <c r="I206" s="3"/>
      <c r="J206" s="69"/>
    </row>
    <row r="207" spans="1:10" s="61" customFormat="1" ht="33.75" customHeight="1" x14ac:dyDescent="0.25">
      <c r="A207" s="41"/>
      <c r="B207" s="2"/>
      <c r="C207" s="48"/>
      <c r="D207" s="41"/>
      <c r="E207" s="41"/>
      <c r="F207" s="49"/>
      <c r="G207" s="4"/>
      <c r="H207" s="3"/>
      <c r="I207" s="3"/>
      <c r="J207" s="60"/>
    </row>
    <row r="208" spans="1:10" s="61" customFormat="1" ht="33.75" customHeight="1" x14ac:dyDescent="0.25">
      <c r="A208" s="41"/>
      <c r="B208" s="2"/>
      <c r="C208" s="48"/>
      <c r="D208" s="41"/>
      <c r="E208" s="41"/>
      <c r="F208" s="49"/>
      <c r="G208" s="4"/>
      <c r="H208" s="3"/>
      <c r="I208" s="3"/>
      <c r="J208" s="60"/>
    </row>
    <row r="209" spans="1:10" s="61" customFormat="1" ht="33.75" customHeight="1" x14ac:dyDescent="0.25">
      <c r="A209" s="41"/>
      <c r="B209" s="2"/>
      <c r="C209" s="48"/>
      <c r="D209" s="41"/>
      <c r="E209" s="41"/>
      <c r="F209" s="49"/>
      <c r="G209" s="4"/>
      <c r="H209" s="3"/>
      <c r="I209" s="3"/>
      <c r="J209" s="60"/>
    </row>
    <row r="210" spans="1:10" s="61" customFormat="1" ht="33.75" customHeight="1" x14ac:dyDescent="0.25">
      <c r="A210" s="41"/>
      <c r="B210" s="2"/>
      <c r="C210" s="48"/>
      <c r="D210" s="41"/>
      <c r="E210" s="41"/>
      <c r="F210" s="49"/>
      <c r="G210" s="4"/>
      <c r="H210" s="3"/>
      <c r="I210" s="3"/>
      <c r="J210" s="60"/>
    </row>
    <row r="211" spans="1:10" s="61" customFormat="1" ht="33.75" customHeight="1" x14ac:dyDescent="0.25">
      <c r="A211" s="41"/>
      <c r="B211" s="2"/>
      <c r="C211" s="48"/>
      <c r="D211" s="41"/>
      <c r="E211" s="41"/>
      <c r="F211" s="49"/>
      <c r="G211" s="4"/>
      <c r="H211" s="3"/>
      <c r="I211" s="3"/>
      <c r="J211" s="60"/>
    </row>
    <row r="212" spans="1:10" s="61" customFormat="1" ht="33.75" customHeight="1" x14ac:dyDescent="0.25">
      <c r="A212" s="41"/>
      <c r="B212" s="2"/>
      <c r="C212" s="48"/>
      <c r="D212" s="41"/>
      <c r="E212" s="41"/>
      <c r="F212" s="49"/>
      <c r="G212" s="4"/>
      <c r="H212" s="3"/>
      <c r="I212" s="3"/>
      <c r="J212" s="60"/>
    </row>
    <row r="213" spans="1:10" s="61" customFormat="1" ht="33.75" customHeight="1" x14ac:dyDescent="0.25">
      <c r="A213" s="41"/>
      <c r="B213" s="2"/>
      <c r="C213" s="48"/>
      <c r="D213" s="41"/>
      <c r="E213" s="41"/>
      <c r="F213" s="49"/>
      <c r="G213" s="4"/>
      <c r="H213" s="3"/>
      <c r="I213" s="3"/>
      <c r="J213" s="60"/>
    </row>
    <row r="214" spans="1:10" s="61" customFormat="1" ht="33.75" customHeight="1" x14ac:dyDescent="0.25">
      <c r="A214" s="41"/>
      <c r="B214" s="2"/>
      <c r="C214" s="48"/>
      <c r="D214" s="41"/>
      <c r="E214" s="41"/>
      <c r="F214" s="49"/>
      <c r="G214" s="4"/>
      <c r="H214" s="3"/>
      <c r="I214" s="3"/>
      <c r="J214" s="60"/>
    </row>
    <row r="215" spans="1:10" s="61" customFormat="1" ht="33.75" customHeight="1" x14ac:dyDescent="0.25">
      <c r="A215" s="41"/>
      <c r="B215" s="2"/>
      <c r="C215" s="48"/>
      <c r="D215" s="41"/>
      <c r="E215" s="41"/>
      <c r="F215" s="49"/>
      <c r="G215" s="4"/>
      <c r="H215" s="3"/>
      <c r="I215" s="3"/>
      <c r="J215" s="60"/>
    </row>
    <row r="216" spans="1:10" s="61" customFormat="1" ht="33.75" customHeight="1" x14ac:dyDescent="0.25">
      <c r="A216" s="41"/>
      <c r="B216" s="2"/>
      <c r="C216" s="48"/>
      <c r="D216" s="41"/>
      <c r="E216" s="41"/>
      <c r="F216" s="49"/>
      <c r="G216" s="4"/>
      <c r="H216" s="3"/>
      <c r="I216" s="3"/>
      <c r="J216" s="60"/>
    </row>
    <row r="217" spans="1:10" s="61" customFormat="1" ht="33.75" customHeight="1" x14ac:dyDescent="0.25">
      <c r="A217" s="41"/>
      <c r="B217" s="2"/>
      <c r="C217" s="48"/>
      <c r="D217" s="41"/>
      <c r="E217" s="41"/>
      <c r="F217" s="49"/>
      <c r="G217" s="4"/>
      <c r="H217" s="3"/>
      <c r="I217" s="3"/>
      <c r="J217" s="60"/>
    </row>
    <row r="218" spans="1:10" s="61" customFormat="1" ht="33.75" customHeight="1" x14ac:dyDescent="0.25">
      <c r="A218" s="41"/>
      <c r="B218" s="2"/>
      <c r="C218" s="48"/>
      <c r="D218" s="41"/>
      <c r="E218" s="41"/>
      <c r="F218" s="49"/>
      <c r="G218" s="4"/>
      <c r="H218" s="3"/>
      <c r="I218" s="3"/>
      <c r="J218" s="60"/>
    </row>
    <row r="219" spans="1:10" s="61" customFormat="1" ht="33.75" customHeight="1" x14ac:dyDescent="0.25">
      <c r="A219" s="41"/>
      <c r="B219" s="2"/>
      <c r="C219" s="48"/>
      <c r="D219" s="41"/>
      <c r="E219" s="41"/>
      <c r="F219" s="49"/>
      <c r="G219" s="4"/>
      <c r="H219" s="3"/>
      <c r="I219" s="3"/>
      <c r="J219" s="60"/>
    </row>
    <row r="220" spans="1:10" s="61" customFormat="1" ht="33.75" customHeight="1" x14ac:dyDescent="0.25">
      <c r="A220" s="41"/>
      <c r="B220" s="2"/>
      <c r="C220" s="48"/>
      <c r="D220" s="41"/>
      <c r="E220" s="41"/>
      <c r="F220" s="49"/>
      <c r="G220" s="4"/>
      <c r="H220" s="3"/>
      <c r="I220" s="3"/>
      <c r="J220" s="60"/>
    </row>
    <row r="221" spans="1:10" s="61" customFormat="1" ht="33.75" customHeight="1" x14ac:dyDescent="0.25">
      <c r="A221" s="41"/>
      <c r="B221" s="2"/>
      <c r="C221" s="48"/>
      <c r="D221" s="41"/>
      <c r="E221" s="41"/>
      <c r="F221" s="49"/>
      <c r="G221" s="4"/>
      <c r="H221" s="3"/>
      <c r="I221" s="3"/>
      <c r="J221" s="60"/>
    </row>
    <row r="222" spans="1:10" s="61" customFormat="1" ht="33.75" customHeight="1" x14ac:dyDescent="0.25">
      <c r="A222" s="41"/>
      <c r="B222" s="2"/>
      <c r="C222" s="48"/>
      <c r="D222" s="41"/>
      <c r="E222" s="41"/>
      <c r="F222" s="49"/>
      <c r="G222" s="4"/>
      <c r="H222" s="3"/>
      <c r="I222" s="3"/>
      <c r="J222" s="60"/>
    </row>
    <row r="223" spans="1:10" s="61" customFormat="1" ht="33.75" customHeight="1" x14ac:dyDescent="0.25">
      <c r="A223" s="41"/>
      <c r="B223" s="2"/>
      <c r="C223" s="48"/>
      <c r="D223" s="41"/>
      <c r="E223" s="41"/>
      <c r="F223" s="49"/>
      <c r="G223" s="4"/>
      <c r="H223" s="3"/>
      <c r="I223" s="3"/>
      <c r="J223" s="60"/>
    </row>
    <row r="224" spans="1:10" s="61" customFormat="1" ht="33.75" customHeight="1" x14ac:dyDescent="0.25">
      <c r="A224" s="41"/>
      <c r="B224" s="2"/>
      <c r="C224" s="48"/>
      <c r="D224" s="41"/>
      <c r="E224" s="41"/>
      <c r="F224" s="49"/>
      <c r="G224" s="4"/>
      <c r="H224" s="3"/>
      <c r="I224" s="3"/>
      <c r="J224" s="60"/>
    </row>
    <row r="225" spans="1:10" s="61" customFormat="1" ht="33.75" customHeight="1" x14ac:dyDescent="0.25">
      <c r="A225" s="41"/>
      <c r="B225" s="2"/>
      <c r="C225" s="48"/>
      <c r="D225" s="41"/>
      <c r="E225" s="41"/>
      <c r="F225" s="49"/>
      <c r="G225" s="4"/>
      <c r="H225" s="3"/>
      <c r="I225" s="3"/>
      <c r="J225" s="60"/>
    </row>
    <row r="226" spans="1:10" s="61" customFormat="1" ht="33.75" customHeight="1" x14ac:dyDescent="0.25">
      <c r="A226" s="41"/>
      <c r="B226" s="2"/>
      <c r="C226" s="48"/>
      <c r="D226" s="41"/>
      <c r="E226" s="41"/>
      <c r="F226" s="49"/>
      <c r="G226" s="4"/>
      <c r="H226" s="3"/>
      <c r="I226" s="3"/>
      <c r="J226" s="60"/>
    </row>
    <row r="227" spans="1:10" s="61" customFormat="1" ht="33.75" customHeight="1" x14ac:dyDescent="0.25">
      <c r="A227" s="41"/>
      <c r="B227" s="2"/>
      <c r="C227" s="48"/>
      <c r="D227" s="41"/>
      <c r="E227" s="41"/>
      <c r="F227" s="49"/>
      <c r="G227" s="4"/>
      <c r="H227" s="3"/>
      <c r="I227" s="3"/>
      <c r="J227" s="60"/>
    </row>
    <row r="228" spans="1:10" s="61" customFormat="1" ht="33.75" customHeight="1" x14ac:dyDescent="0.25">
      <c r="A228" s="41"/>
      <c r="B228" s="2"/>
      <c r="C228" s="48"/>
      <c r="D228" s="41"/>
      <c r="E228" s="41"/>
      <c r="F228" s="49"/>
      <c r="G228" s="4"/>
      <c r="H228" s="3"/>
      <c r="I228" s="3"/>
      <c r="J228" s="60"/>
    </row>
    <row r="229" spans="1:10" s="61" customFormat="1" ht="33.75" customHeight="1" x14ac:dyDescent="0.25">
      <c r="A229" s="41"/>
      <c r="B229" s="2"/>
      <c r="C229" s="48"/>
      <c r="D229" s="41"/>
      <c r="E229" s="41"/>
      <c r="F229" s="49"/>
      <c r="G229" s="4"/>
      <c r="H229" s="3"/>
      <c r="I229" s="3"/>
      <c r="J229" s="60"/>
    </row>
    <row r="230" spans="1:10" s="61" customFormat="1" ht="33.75" customHeight="1" x14ac:dyDescent="0.25">
      <c r="A230" s="41"/>
      <c r="B230" s="2"/>
      <c r="C230" s="48"/>
      <c r="D230" s="41"/>
      <c r="E230" s="41"/>
      <c r="F230" s="49"/>
      <c r="G230" s="4"/>
      <c r="H230" s="3"/>
      <c r="I230" s="3"/>
      <c r="J230" s="60"/>
    </row>
    <row r="231" spans="1:10" s="61" customFormat="1" ht="33.75" customHeight="1" x14ac:dyDescent="0.25">
      <c r="A231" s="41"/>
      <c r="B231" s="2"/>
      <c r="C231" s="48"/>
      <c r="D231" s="41"/>
      <c r="E231" s="41"/>
      <c r="F231" s="49"/>
      <c r="G231" s="4"/>
      <c r="H231" s="3"/>
      <c r="I231" s="3"/>
      <c r="J231" s="60"/>
    </row>
    <row r="232" spans="1:10" s="78" customFormat="1" ht="33.75" customHeight="1" thickBot="1" x14ac:dyDescent="0.3">
      <c r="A232" s="71"/>
      <c r="B232" s="72"/>
      <c r="C232" s="73"/>
      <c r="D232" s="71"/>
      <c r="E232" s="71"/>
      <c r="F232" s="74"/>
      <c r="G232" s="75"/>
      <c r="H232" s="76"/>
      <c r="I232" s="76"/>
      <c r="J232" s="77"/>
    </row>
    <row r="233" spans="1:10" s="61" customFormat="1" ht="33.75" customHeight="1" thickTop="1" x14ac:dyDescent="0.25">
      <c r="A233" s="63"/>
      <c r="B233" s="64"/>
      <c r="C233" s="65"/>
      <c r="D233" s="63"/>
      <c r="E233" s="63"/>
      <c r="F233" s="66"/>
      <c r="G233" s="67"/>
      <c r="H233" s="68"/>
      <c r="I233" s="68"/>
      <c r="J233" s="69"/>
    </row>
    <row r="234" spans="1:10" s="61" customFormat="1" ht="33.75" customHeight="1" x14ac:dyDescent="0.25">
      <c r="A234" s="41"/>
      <c r="B234" s="2"/>
      <c r="C234" s="48"/>
      <c r="D234" s="41"/>
      <c r="E234" s="41"/>
      <c r="F234" s="49"/>
      <c r="G234" s="4"/>
      <c r="H234" s="3"/>
      <c r="I234" s="3"/>
      <c r="J234" s="60"/>
    </row>
    <row r="235" spans="1:10" s="61" customFormat="1" ht="33.75" customHeight="1" x14ac:dyDescent="0.25">
      <c r="A235" s="53"/>
      <c r="B235" s="54"/>
      <c r="C235" s="55"/>
      <c r="D235" s="53"/>
      <c r="E235" s="53"/>
      <c r="F235" s="56"/>
      <c r="G235" s="57"/>
      <c r="H235" s="58"/>
      <c r="I235" s="3"/>
      <c r="J235" s="62"/>
    </row>
    <row r="236" spans="1:10" s="61" customFormat="1" ht="33.75" customHeight="1" x14ac:dyDescent="0.25">
      <c r="A236" s="53"/>
      <c r="B236" s="54"/>
      <c r="C236" s="55"/>
      <c r="D236" s="53"/>
      <c r="E236" s="53"/>
      <c r="F236" s="56"/>
      <c r="G236" s="57"/>
      <c r="H236" s="58"/>
      <c r="I236" s="3"/>
      <c r="J236" s="62"/>
    </row>
    <row r="237" spans="1:10" s="61" customFormat="1" ht="33.75" customHeight="1" x14ac:dyDescent="0.25">
      <c r="A237" s="53"/>
      <c r="B237" s="54"/>
      <c r="C237" s="55"/>
      <c r="D237" s="53"/>
      <c r="E237" s="53"/>
      <c r="F237" s="56"/>
      <c r="G237" s="57"/>
      <c r="H237" s="58"/>
      <c r="I237" s="3"/>
      <c r="J237" s="62"/>
    </row>
    <row r="238" spans="1:10" s="61" customFormat="1" ht="33.75" customHeight="1" x14ac:dyDescent="0.25">
      <c r="A238" s="53"/>
      <c r="B238" s="2"/>
      <c r="C238" s="48"/>
      <c r="D238" s="53"/>
      <c r="E238" s="56"/>
      <c r="F238" s="56"/>
      <c r="G238" s="57"/>
      <c r="H238" s="3"/>
      <c r="I238" s="3"/>
      <c r="J238" s="62"/>
    </row>
    <row r="239" spans="1:10" s="61" customFormat="1" ht="33.75" customHeight="1" x14ac:dyDescent="0.25">
      <c r="A239" s="53"/>
      <c r="B239" s="54"/>
      <c r="C239" s="55"/>
      <c r="D239" s="53"/>
      <c r="E239" s="53"/>
      <c r="F239" s="56"/>
      <c r="G239" s="57"/>
      <c r="H239" s="3"/>
      <c r="I239" s="3"/>
      <c r="J239" s="62"/>
    </row>
    <row r="240" spans="1:10" s="61" customFormat="1" ht="33.75" customHeight="1" x14ac:dyDescent="0.25">
      <c r="A240" s="53"/>
      <c r="B240" s="54"/>
      <c r="C240" s="55"/>
      <c r="D240" s="53"/>
      <c r="E240" s="53"/>
      <c r="F240" s="56"/>
      <c r="G240" s="57"/>
      <c r="H240" s="58"/>
      <c r="I240" s="3"/>
      <c r="J240" s="62"/>
    </row>
    <row r="241" spans="1:10" s="61" customFormat="1" ht="33.75" customHeight="1" x14ac:dyDescent="0.25">
      <c r="A241" s="53"/>
      <c r="B241" s="54"/>
      <c r="C241" s="55"/>
      <c r="D241" s="53"/>
      <c r="E241" s="53"/>
      <c r="F241" s="56"/>
      <c r="G241" s="57"/>
      <c r="H241" s="58"/>
      <c r="I241" s="3"/>
      <c r="J241" s="62"/>
    </row>
    <row r="242" spans="1:10" s="61" customFormat="1" ht="33.75" customHeight="1" x14ac:dyDescent="0.25">
      <c r="A242" s="53"/>
      <c r="B242" s="54"/>
      <c r="C242" s="55"/>
      <c r="D242" s="53"/>
      <c r="E242" s="53"/>
      <c r="F242" s="56"/>
      <c r="G242" s="57"/>
      <c r="H242" s="58"/>
      <c r="I242" s="3"/>
      <c r="J242" s="62"/>
    </row>
    <row r="243" spans="1:10" s="61" customFormat="1" ht="33.75" customHeight="1" x14ac:dyDescent="0.25">
      <c r="A243" s="53"/>
      <c r="B243" s="54"/>
      <c r="C243" s="55"/>
      <c r="D243" s="53"/>
      <c r="E243" s="53"/>
      <c r="F243" s="56" t="s">
        <v>22</v>
      </c>
      <c r="G243" s="57"/>
      <c r="H243" s="58"/>
      <c r="I243" s="3"/>
      <c r="J243" s="62"/>
    </row>
  </sheetData>
  <autoFilter ref="A2:J178"/>
  <mergeCells count="1">
    <mergeCell ref="A1:J1"/>
  </mergeCells>
  <pageMargins left="0" right="0" top="0.75" bottom="0.75" header="0.3" footer="0.3"/>
  <pageSetup scale="6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273"/>
  <sheetViews>
    <sheetView tabSelected="1" workbookViewId="0">
      <selection activeCell="I103" sqref="I103"/>
    </sheetView>
  </sheetViews>
  <sheetFormatPr defaultRowHeight="15" x14ac:dyDescent="0.25"/>
  <cols>
    <col min="2" max="2" width="13.5703125" bestFit="1" customWidth="1"/>
    <col min="6" max="6" width="43.140625" customWidth="1"/>
  </cols>
  <sheetData>
    <row r="1" spans="1:10" x14ac:dyDescent="0.25">
      <c r="A1" t="s">
        <v>193</v>
      </c>
    </row>
    <row r="2" spans="1:10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100</v>
      </c>
      <c r="G2" t="s">
        <v>5</v>
      </c>
      <c r="H2" t="s">
        <v>6</v>
      </c>
      <c r="I2" t="s">
        <v>7</v>
      </c>
      <c r="J2" t="s">
        <v>8</v>
      </c>
    </row>
    <row r="3" spans="1:10" ht="15.75" hidden="1" x14ac:dyDescent="0.25">
      <c r="A3" t="s">
        <v>9</v>
      </c>
      <c r="B3" s="2">
        <v>45170</v>
      </c>
      <c r="C3" t="s">
        <v>10</v>
      </c>
      <c r="D3" t="s">
        <v>10</v>
      </c>
      <c r="E3" t="s">
        <v>11</v>
      </c>
      <c r="F3" t="s">
        <v>10</v>
      </c>
      <c r="G3">
        <v>800450</v>
      </c>
      <c r="H3">
        <v>0</v>
      </c>
      <c r="I3">
        <v>800450</v>
      </c>
    </row>
    <row r="4" spans="1:10" ht="15.75" hidden="1" x14ac:dyDescent="0.25">
      <c r="A4" t="s">
        <v>641</v>
      </c>
      <c r="B4" s="2">
        <v>45173</v>
      </c>
      <c r="C4" t="s">
        <v>642</v>
      </c>
      <c r="D4" t="s">
        <v>204</v>
      </c>
      <c r="E4" t="s">
        <v>643</v>
      </c>
      <c r="F4" t="s">
        <v>644</v>
      </c>
      <c r="G4">
        <v>0</v>
      </c>
      <c r="H4">
        <v>16000</v>
      </c>
      <c r="I4">
        <v>752450</v>
      </c>
    </row>
    <row r="5" spans="1:10" ht="33.75" hidden="1" customHeight="1" x14ac:dyDescent="0.25">
      <c r="A5" t="s">
        <v>645</v>
      </c>
      <c r="B5" s="2">
        <v>45173</v>
      </c>
      <c r="C5" t="s">
        <v>369</v>
      </c>
      <c r="D5" t="s">
        <v>646</v>
      </c>
      <c r="E5" t="s">
        <v>647</v>
      </c>
      <c r="F5" t="s">
        <v>648</v>
      </c>
      <c r="G5">
        <v>4000</v>
      </c>
      <c r="H5">
        <v>0</v>
      </c>
      <c r="I5">
        <v>746450</v>
      </c>
    </row>
    <row r="6" spans="1:10" s="85" customFormat="1" ht="15.75" hidden="1" x14ac:dyDescent="0.25">
      <c r="A6" s="85" t="s">
        <v>649</v>
      </c>
      <c r="B6" s="105">
        <v>45174</v>
      </c>
      <c r="C6" s="85" t="s">
        <v>245</v>
      </c>
      <c r="D6" s="85" t="s">
        <v>246</v>
      </c>
      <c r="E6" s="85" t="s">
        <v>650</v>
      </c>
      <c r="F6" s="85" t="s">
        <v>651</v>
      </c>
      <c r="G6" s="85">
        <v>0</v>
      </c>
      <c r="H6" s="85">
        <v>537800</v>
      </c>
      <c r="I6" s="85">
        <v>211650</v>
      </c>
    </row>
    <row r="7" spans="1:10" s="85" customFormat="1" ht="15.75" hidden="1" x14ac:dyDescent="0.25">
      <c r="A7" s="85" t="s">
        <v>652</v>
      </c>
      <c r="B7" s="105">
        <v>45175</v>
      </c>
      <c r="C7" s="85" t="s">
        <v>229</v>
      </c>
      <c r="D7" s="85" t="s">
        <v>204</v>
      </c>
      <c r="E7" s="85" t="s">
        <v>653</v>
      </c>
      <c r="F7" s="85" t="s">
        <v>654</v>
      </c>
      <c r="G7" s="85">
        <v>0</v>
      </c>
      <c r="H7" s="85">
        <v>250000</v>
      </c>
      <c r="I7" s="85">
        <v>-38350</v>
      </c>
    </row>
    <row r="8" spans="1:10" ht="15.75" hidden="1" x14ac:dyDescent="0.25">
      <c r="A8" t="s">
        <v>655</v>
      </c>
      <c r="B8" s="2">
        <v>45175</v>
      </c>
      <c r="C8" t="s">
        <v>219</v>
      </c>
      <c r="D8" t="s">
        <v>204</v>
      </c>
      <c r="E8" t="s">
        <v>656</v>
      </c>
      <c r="F8" t="s">
        <v>657</v>
      </c>
      <c r="G8">
        <v>126000</v>
      </c>
      <c r="H8">
        <v>0</v>
      </c>
      <c r="I8">
        <v>87650</v>
      </c>
    </row>
    <row r="9" spans="1:10" ht="15.75" hidden="1" x14ac:dyDescent="0.25">
      <c r="A9" t="s">
        <v>658</v>
      </c>
      <c r="B9" s="2">
        <v>45176</v>
      </c>
      <c r="C9" t="s">
        <v>245</v>
      </c>
      <c r="D9" t="s">
        <v>246</v>
      </c>
      <c r="E9" t="s">
        <v>659</v>
      </c>
      <c r="F9" t="s">
        <v>659</v>
      </c>
      <c r="G9">
        <v>36000</v>
      </c>
      <c r="H9">
        <v>0</v>
      </c>
      <c r="I9">
        <v>451300</v>
      </c>
    </row>
    <row r="10" spans="1:10" s="85" customFormat="1" ht="15.75" hidden="1" x14ac:dyDescent="0.25">
      <c r="A10" s="85" t="s">
        <v>660</v>
      </c>
      <c r="B10" s="105">
        <v>45177</v>
      </c>
      <c r="C10" s="85" t="s">
        <v>203</v>
      </c>
      <c r="D10" s="85" t="s">
        <v>204</v>
      </c>
      <c r="E10" s="85" t="s">
        <v>661</v>
      </c>
      <c r="F10" s="85" t="s">
        <v>662</v>
      </c>
      <c r="G10" s="85">
        <v>0</v>
      </c>
      <c r="H10" s="85">
        <v>477200</v>
      </c>
      <c r="I10" s="85">
        <v>-1072250</v>
      </c>
    </row>
    <row r="11" spans="1:10" s="85" customFormat="1" ht="15.75" hidden="1" x14ac:dyDescent="0.25">
      <c r="A11" s="85" t="s">
        <v>663</v>
      </c>
      <c r="B11" s="105">
        <v>45177</v>
      </c>
      <c r="C11" s="85" t="s">
        <v>219</v>
      </c>
      <c r="D11" s="85" t="s">
        <v>204</v>
      </c>
      <c r="E11" s="85" t="s">
        <v>664</v>
      </c>
      <c r="F11" s="85" t="s">
        <v>665</v>
      </c>
      <c r="G11" s="85">
        <v>0</v>
      </c>
      <c r="H11" s="85">
        <v>400000</v>
      </c>
      <c r="I11" s="85">
        <v>-1472250</v>
      </c>
    </row>
    <row r="12" spans="1:10" s="85" customFormat="1" ht="15.75" hidden="1" x14ac:dyDescent="0.25">
      <c r="A12" s="85" t="s">
        <v>666</v>
      </c>
      <c r="B12" s="105">
        <v>45177</v>
      </c>
      <c r="C12" s="85" t="s">
        <v>229</v>
      </c>
      <c r="D12" s="85" t="s">
        <v>204</v>
      </c>
      <c r="E12" s="85" t="s">
        <v>667</v>
      </c>
      <c r="F12" s="85" t="s">
        <v>668</v>
      </c>
      <c r="G12" s="85">
        <v>0</v>
      </c>
      <c r="H12" s="85">
        <v>500000</v>
      </c>
      <c r="I12" s="85">
        <v>-1972250</v>
      </c>
    </row>
    <row r="13" spans="1:10" s="85" customFormat="1" ht="15.75" hidden="1" x14ac:dyDescent="0.25">
      <c r="A13" s="85" t="s">
        <v>669</v>
      </c>
      <c r="B13" s="105">
        <v>45177</v>
      </c>
      <c r="C13" s="85" t="s">
        <v>229</v>
      </c>
      <c r="D13" s="85" t="s">
        <v>204</v>
      </c>
      <c r="E13" s="85" t="s">
        <v>670</v>
      </c>
      <c r="F13" s="85" t="s">
        <v>671</v>
      </c>
      <c r="G13" s="85">
        <v>0</v>
      </c>
      <c r="H13" s="85">
        <v>500000</v>
      </c>
      <c r="I13" s="85">
        <v>-2472250</v>
      </c>
    </row>
    <row r="14" spans="1:10" s="85" customFormat="1" ht="15.75" hidden="1" x14ac:dyDescent="0.25">
      <c r="A14" s="85" t="s">
        <v>672</v>
      </c>
      <c r="B14" s="105">
        <v>45177</v>
      </c>
      <c r="C14" s="85" t="s">
        <v>229</v>
      </c>
      <c r="D14" s="85" t="s">
        <v>204</v>
      </c>
      <c r="E14" s="85" t="s">
        <v>673</v>
      </c>
      <c r="F14" s="85" t="s">
        <v>674</v>
      </c>
      <c r="G14" s="85">
        <v>0</v>
      </c>
      <c r="H14" s="85">
        <v>500000</v>
      </c>
      <c r="I14" s="85">
        <v>-2972250</v>
      </c>
    </row>
    <row r="15" spans="1:10" s="85" customFormat="1" ht="15.75" hidden="1" x14ac:dyDescent="0.25">
      <c r="A15" s="85" t="s">
        <v>675</v>
      </c>
      <c r="B15" s="105">
        <v>45177</v>
      </c>
      <c r="C15" s="85" t="s">
        <v>229</v>
      </c>
      <c r="D15" s="85" t="s">
        <v>204</v>
      </c>
      <c r="E15" s="85" t="s">
        <v>676</v>
      </c>
      <c r="F15" s="85" t="s">
        <v>677</v>
      </c>
      <c r="G15" s="85">
        <v>0</v>
      </c>
      <c r="H15" s="85">
        <v>500000</v>
      </c>
      <c r="I15" s="85">
        <v>-3472250</v>
      </c>
    </row>
    <row r="16" spans="1:10" ht="15.75" hidden="1" x14ac:dyDescent="0.25">
      <c r="A16" t="s">
        <v>678</v>
      </c>
      <c r="B16" s="2">
        <v>45177</v>
      </c>
      <c r="C16" t="s">
        <v>447</v>
      </c>
      <c r="D16" t="s">
        <v>204</v>
      </c>
      <c r="E16" t="s">
        <v>679</v>
      </c>
      <c r="F16" t="s">
        <v>680</v>
      </c>
      <c r="G16">
        <v>0</v>
      </c>
      <c r="H16">
        <v>15000</v>
      </c>
      <c r="I16">
        <v>-3487250</v>
      </c>
    </row>
    <row r="17" spans="1:9" s="85" customFormat="1" ht="15.75" hidden="1" x14ac:dyDescent="0.25">
      <c r="A17" s="85" t="s">
        <v>681</v>
      </c>
      <c r="B17" s="105">
        <v>45177</v>
      </c>
      <c r="C17" s="85" t="s">
        <v>245</v>
      </c>
      <c r="D17" s="85" t="s">
        <v>246</v>
      </c>
      <c r="E17" s="85" t="s">
        <v>682</v>
      </c>
      <c r="F17" s="85" t="s">
        <v>682</v>
      </c>
      <c r="G17" s="85">
        <v>0</v>
      </c>
      <c r="H17" s="85">
        <v>327650</v>
      </c>
      <c r="I17" s="85">
        <v>-3814900</v>
      </c>
    </row>
    <row r="18" spans="1:9" ht="15.75" hidden="1" x14ac:dyDescent="0.25">
      <c r="A18" t="s">
        <v>683</v>
      </c>
      <c r="B18" s="2">
        <v>45177</v>
      </c>
      <c r="C18" t="s">
        <v>245</v>
      </c>
      <c r="D18" t="s">
        <v>246</v>
      </c>
      <c r="E18" t="s">
        <v>684</v>
      </c>
      <c r="F18" t="s">
        <v>685</v>
      </c>
      <c r="G18">
        <v>5700000</v>
      </c>
      <c r="H18">
        <v>0</v>
      </c>
      <c r="I18">
        <v>1991200</v>
      </c>
    </row>
    <row r="19" spans="1:9" ht="15.75" hidden="1" x14ac:dyDescent="0.25">
      <c r="A19" t="s">
        <v>686</v>
      </c>
      <c r="B19" s="2">
        <v>45177</v>
      </c>
      <c r="C19" t="s">
        <v>203</v>
      </c>
      <c r="D19" t="s">
        <v>204</v>
      </c>
      <c r="E19" t="s">
        <v>687</v>
      </c>
      <c r="F19" t="s">
        <v>688</v>
      </c>
      <c r="G19">
        <v>400000</v>
      </c>
      <c r="H19">
        <v>0</v>
      </c>
      <c r="I19">
        <v>2391200</v>
      </c>
    </row>
    <row r="20" spans="1:9" ht="15.75" hidden="1" x14ac:dyDescent="0.25">
      <c r="A20" t="s">
        <v>689</v>
      </c>
      <c r="B20" s="2">
        <v>45177</v>
      </c>
      <c r="C20" t="s">
        <v>229</v>
      </c>
      <c r="D20" t="s">
        <v>204</v>
      </c>
      <c r="E20" t="s">
        <v>690</v>
      </c>
      <c r="F20" t="s">
        <v>691</v>
      </c>
      <c r="G20">
        <v>500000</v>
      </c>
      <c r="H20">
        <v>0</v>
      </c>
      <c r="I20">
        <v>2891200</v>
      </c>
    </row>
    <row r="21" spans="1:9" ht="15.75" hidden="1" x14ac:dyDescent="0.25">
      <c r="A21" t="s">
        <v>692</v>
      </c>
      <c r="B21" s="2">
        <v>45177</v>
      </c>
      <c r="C21" t="s">
        <v>229</v>
      </c>
      <c r="D21" t="s">
        <v>204</v>
      </c>
      <c r="E21" t="s">
        <v>693</v>
      </c>
      <c r="F21" t="s">
        <v>694</v>
      </c>
      <c r="G21">
        <v>300000</v>
      </c>
      <c r="H21">
        <v>0</v>
      </c>
      <c r="I21">
        <v>3191200</v>
      </c>
    </row>
    <row r="22" spans="1:9" s="85" customFormat="1" ht="15.75" hidden="1" x14ac:dyDescent="0.25">
      <c r="A22" s="85" t="s">
        <v>695</v>
      </c>
      <c r="B22" s="105">
        <v>45181</v>
      </c>
      <c r="C22" s="85" t="s">
        <v>203</v>
      </c>
      <c r="D22" s="85" t="s">
        <v>204</v>
      </c>
      <c r="E22" s="85" t="s">
        <v>696</v>
      </c>
      <c r="F22" s="85" t="s">
        <v>697</v>
      </c>
      <c r="G22" s="85">
        <v>0</v>
      </c>
      <c r="H22" s="85">
        <v>2130000</v>
      </c>
      <c r="I22" s="85">
        <v>1061200</v>
      </c>
    </row>
    <row r="23" spans="1:9" ht="15.75" hidden="1" x14ac:dyDescent="0.25">
      <c r="A23" t="s">
        <v>698</v>
      </c>
      <c r="B23" s="2">
        <v>45181</v>
      </c>
      <c r="C23" t="s">
        <v>265</v>
      </c>
      <c r="D23" t="s">
        <v>385</v>
      </c>
      <c r="E23" t="s">
        <v>699</v>
      </c>
      <c r="F23" t="s">
        <v>700</v>
      </c>
      <c r="G23">
        <v>0</v>
      </c>
      <c r="H23">
        <v>70000</v>
      </c>
      <c r="I23">
        <v>791200</v>
      </c>
    </row>
    <row r="24" spans="1:9" s="85" customFormat="1" ht="15.75" hidden="1" x14ac:dyDescent="0.25">
      <c r="A24" s="85" t="s">
        <v>701</v>
      </c>
      <c r="B24" s="105">
        <v>45181</v>
      </c>
      <c r="C24" s="85" t="s">
        <v>265</v>
      </c>
      <c r="D24" s="85" t="s">
        <v>385</v>
      </c>
      <c r="E24" s="85" t="s">
        <v>702</v>
      </c>
      <c r="F24" s="85" t="s">
        <v>703</v>
      </c>
      <c r="G24" s="85">
        <v>0</v>
      </c>
      <c r="H24" s="85">
        <v>80000</v>
      </c>
      <c r="I24" s="85">
        <v>641200</v>
      </c>
    </row>
    <row r="25" spans="1:9" ht="15.75" hidden="1" x14ac:dyDescent="0.25">
      <c r="A25" t="s">
        <v>704</v>
      </c>
      <c r="B25" s="2">
        <v>45181</v>
      </c>
      <c r="C25" t="s">
        <v>219</v>
      </c>
      <c r="D25" t="s">
        <v>204</v>
      </c>
      <c r="E25" t="s">
        <v>705</v>
      </c>
      <c r="F25" t="s">
        <v>706</v>
      </c>
      <c r="G25">
        <v>0</v>
      </c>
      <c r="H25">
        <v>59000</v>
      </c>
      <c r="I25">
        <v>582200</v>
      </c>
    </row>
    <row r="26" spans="1:9" ht="15.75" hidden="1" x14ac:dyDescent="0.25">
      <c r="A26" t="s">
        <v>707</v>
      </c>
      <c r="B26" s="2">
        <v>45182</v>
      </c>
      <c r="C26" t="s">
        <v>369</v>
      </c>
      <c r="D26" t="s">
        <v>708</v>
      </c>
      <c r="E26" t="s">
        <v>378</v>
      </c>
      <c r="F26" t="s">
        <v>709</v>
      </c>
      <c r="G26">
        <v>5000</v>
      </c>
      <c r="H26">
        <v>0</v>
      </c>
      <c r="I26">
        <v>572200</v>
      </c>
    </row>
    <row r="27" spans="1:9" ht="15.75" hidden="1" x14ac:dyDescent="0.25">
      <c r="A27" t="s">
        <v>710</v>
      </c>
      <c r="B27" s="2">
        <v>45183</v>
      </c>
      <c r="C27" t="s">
        <v>203</v>
      </c>
      <c r="D27" t="s">
        <v>204</v>
      </c>
      <c r="E27" t="s">
        <v>711</v>
      </c>
      <c r="F27" t="s">
        <v>712</v>
      </c>
      <c r="G27">
        <v>0</v>
      </c>
      <c r="H27">
        <v>56000</v>
      </c>
      <c r="I27">
        <v>477200</v>
      </c>
    </row>
    <row r="28" spans="1:9" s="85" customFormat="1" ht="15.75" hidden="1" x14ac:dyDescent="0.25">
      <c r="A28" s="85" t="s">
        <v>713</v>
      </c>
      <c r="B28" s="105">
        <v>45183</v>
      </c>
      <c r="C28" s="85" t="s">
        <v>219</v>
      </c>
      <c r="D28" s="85" t="s">
        <v>204</v>
      </c>
      <c r="E28" s="85" t="s">
        <v>714</v>
      </c>
      <c r="F28" s="85" t="s">
        <v>715</v>
      </c>
      <c r="G28" s="85">
        <v>0</v>
      </c>
      <c r="H28" s="85">
        <v>83000</v>
      </c>
      <c r="I28" s="85">
        <v>394200</v>
      </c>
    </row>
    <row r="29" spans="1:9" ht="15.75" hidden="1" x14ac:dyDescent="0.25">
      <c r="A29" t="s">
        <v>716</v>
      </c>
      <c r="B29" s="2">
        <v>45183</v>
      </c>
      <c r="C29" t="s">
        <v>447</v>
      </c>
      <c r="D29" t="s">
        <v>204</v>
      </c>
      <c r="E29" t="s">
        <v>717</v>
      </c>
      <c r="F29" t="s">
        <v>718</v>
      </c>
      <c r="G29">
        <v>0</v>
      </c>
      <c r="H29">
        <v>30000</v>
      </c>
      <c r="I29">
        <v>364200</v>
      </c>
    </row>
    <row r="30" spans="1:9" s="85" customFormat="1" ht="15.75" hidden="1" x14ac:dyDescent="0.25">
      <c r="A30" s="85" t="s">
        <v>719</v>
      </c>
      <c r="B30" s="105">
        <v>45183</v>
      </c>
      <c r="C30" s="85" t="s">
        <v>229</v>
      </c>
      <c r="D30" s="85" t="s">
        <v>204</v>
      </c>
      <c r="E30" s="85" t="s">
        <v>720</v>
      </c>
      <c r="F30" s="85" t="s">
        <v>721</v>
      </c>
      <c r="G30" s="85">
        <v>0</v>
      </c>
      <c r="H30" s="85">
        <v>500000</v>
      </c>
      <c r="I30" s="85">
        <v>-135800</v>
      </c>
    </row>
    <row r="31" spans="1:9" s="85" customFormat="1" ht="15.75" hidden="1" x14ac:dyDescent="0.25">
      <c r="A31" s="85" t="s">
        <v>722</v>
      </c>
      <c r="B31" s="105">
        <v>45183</v>
      </c>
      <c r="C31" s="85" t="s">
        <v>229</v>
      </c>
      <c r="D31" s="85" t="s">
        <v>204</v>
      </c>
      <c r="E31" s="85" t="s">
        <v>723</v>
      </c>
      <c r="F31" s="85" t="s">
        <v>724</v>
      </c>
      <c r="G31" s="85">
        <v>0</v>
      </c>
      <c r="H31" s="85">
        <v>500000</v>
      </c>
      <c r="I31" s="85">
        <v>-635800</v>
      </c>
    </row>
    <row r="32" spans="1:9" ht="15.75" hidden="1" x14ac:dyDescent="0.25">
      <c r="A32" t="s">
        <v>725</v>
      </c>
      <c r="B32" s="2">
        <v>45183</v>
      </c>
      <c r="C32" t="s">
        <v>229</v>
      </c>
      <c r="D32" t="s">
        <v>204</v>
      </c>
      <c r="E32" t="s">
        <v>404</v>
      </c>
      <c r="F32" t="s">
        <v>726</v>
      </c>
      <c r="G32">
        <v>95000</v>
      </c>
      <c r="H32">
        <v>0</v>
      </c>
      <c r="I32">
        <v>-1035800</v>
      </c>
    </row>
    <row r="33" spans="1:9" ht="15.75" hidden="1" x14ac:dyDescent="0.25">
      <c r="A33" t="s">
        <v>727</v>
      </c>
      <c r="B33" s="2">
        <v>45183</v>
      </c>
      <c r="C33" t="s">
        <v>219</v>
      </c>
      <c r="D33" t="s">
        <v>204</v>
      </c>
      <c r="E33" t="s">
        <v>728</v>
      </c>
      <c r="F33" t="s">
        <v>729</v>
      </c>
      <c r="G33">
        <v>500000</v>
      </c>
      <c r="H33">
        <v>0</v>
      </c>
      <c r="I33">
        <v>-535800</v>
      </c>
    </row>
    <row r="34" spans="1:9" ht="15.75" hidden="1" x14ac:dyDescent="0.25">
      <c r="A34" t="s">
        <v>730</v>
      </c>
      <c r="B34" s="2">
        <v>45183</v>
      </c>
      <c r="C34" t="s">
        <v>219</v>
      </c>
      <c r="D34" t="s">
        <v>204</v>
      </c>
      <c r="E34" t="s">
        <v>731</v>
      </c>
      <c r="F34" t="s">
        <v>732</v>
      </c>
      <c r="G34">
        <v>500000</v>
      </c>
      <c r="H34">
        <v>0</v>
      </c>
      <c r="I34">
        <v>-35800</v>
      </c>
    </row>
    <row r="35" spans="1:9" ht="15.75" hidden="1" x14ac:dyDescent="0.25">
      <c r="A35" t="s">
        <v>733</v>
      </c>
      <c r="B35" s="2">
        <v>45183</v>
      </c>
      <c r="C35" t="s">
        <v>203</v>
      </c>
      <c r="D35" t="s">
        <v>204</v>
      </c>
      <c r="E35" t="s">
        <v>734</v>
      </c>
      <c r="F35" t="s">
        <v>735</v>
      </c>
      <c r="G35">
        <v>30000</v>
      </c>
      <c r="H35">
        <v>0</v>
      </c>
      <c r="I35">
        <v>-5800</v>
      </c>
    </row>
    <row r="36" spans="1:9" ht="15.75" hidden="1" x14ac:dyDescent="0.25">
      <c r="A36" t="s">
        <v>736</v>
      </c>
      <c r="B36" s="2">
        <v>45183</v>
      </c>
      <c r="C36" t="s">
        <v>23</v>
      </c>
      <c r="D36" t="s">
        <v>737</v>
      </c>
      <c r="E36" t="s">
        <v>738</v>
      </c>
      <c r="F36" t="s">
        <v>739</v>
      </c>
      <c r="G36">
        <v>1000000</v>
      </c>
      <c r="H36">
        <v>0</v>
      </c>
      <c r="I36">
        <v>994200</v>
      </c>
    </row>
    <row r="37" spans="1:9" ht="15.75" hidden="1" x14ac:dyDescent="0.25">
      <c r="A37" t="s">
        <v>740</v>
      </c>
      <c r="B37" s="2">
        <v>45183</v>
      </c>
      <c r="C37" t="s">
        <v>190</v>
      </c>
      <c r="D37" t="s">
        <v>191</v>
      </c>
      <c r="E37" t="s">
        <v>741</v>
      </c>
      <c r="F37" t="s">
        <v>742</v>
      </c>
      <c r="G37">
        <v>17000</v>
      </c>
      <c r="H37">
        <v>0</v>
      </c>
      <c r="I37">
        <v>1011200</v>
      </c>
    </row>
    <row r="38" spans="1:9" ht="15.75" hidden="1" x14ac:dyDescent="0.25">
      <c r="A38" t="s">
        <v>743</v>
      </c>
      <c r="B38" s="2">
        <v>45183</v>
      </c>
      <c r="C38" t="s">
        <v>190</v>
      </c>
      <c r="D38" t="s">
        <v>191</v>
      </c>
      <c r="E38" t="s">
        <v>744</v>
      </c>
      <c r="F38" t="s">
        <v>745</v>
      </c>
      <c r="G38">
        <v>93500</v>
      </c>
      <c r="H38">
        <v>0</v>
      </c>
      <c r="I38">
        <v>1104700</v>
      </c>
    </row>
    <row r="39" spans="1:9" ht="15.75" hidden="1" x14ac:dyDescent="0.25">
      <c r="A39" t="s">
        <v>746</v>
      </c>
      <c r="B39" s="2">
        <v>45183</v>
      </c>
      <c r="C39" t="s">
        <v>190</v>
      </c>
      <c r="D39" t="s">
        <v>191</v>
      </c>
      <c r="E39" t="s">
        <v>747</v>
      </c>
      <c r="F39" t="s">
        <v>748</v>
      </c>
      <c r="G39">
        <v>5000</v>
      </c>
      <c r="H39">
        <v>0</v>
      </c>
      <c r="I39">
        <v>1109700</v>
      </c>
    </row>
    <row r="40" spans="1:9" ht="15.75" hidden="1" x14ac:dyDescent="0.25">
      <c r="A40" t="s">
        <v>749</v>
      </c>
      <c r="B40" s="2">
        <v>45183</v>
      </c>
      <c r="C40" t="s">
        <v>190</v>
      </c>
      <c r="D40" t="s">
        <v>191</v>
      </c>
      <c r="E40" t="s">
        <v>750</v>
      </c>
      <c r="F40" t="s">
        <v>751</v>
      </c>
      <c r="G40">
        <v>74000</v>
      </c>
      <c r="H40">
        <v>0</v>
      </c>
      <c r="I40">
        <v>1183700</v>
      </c>
    </row>
    <row r="41" spans="1:9" ht="15.75" hidden="1" x14ac:dyDescent="0.25">
      <c r="A41" t="s">
        <v>752</v>
      </c>
      <c r="B41" s="2">
        <v>45183</v>
      </c>
      <c r="C41" t="s">
        <v>190</v>
      </c>
      <c r="D41" t="s">
        <v>191</v>
      </c>
      <c r="E41" t="s">
        <v>753</v>
      </c>
      <c r="F41" t="s">
        <v>754</v>
      </c>
      <c r="G41">
        <v>30000</v>
      </c>
      <c r="H41">
        <v>0</v>
      </c>
      <c r="I41">
        <v>1213700</v>
      </c>
    </row>
    <row r="42" spans="1:9" ht="15.75" hidden="1" x14ac:dyDescent="0.25">
      <c r="A42" t="s">
        <v>755</v>
      </c>
      <c r="B42" s="2">
        <v>45183</v>
      </c>
      <c r="C42" t="s">
        <v>190</v>
      </c>
      <c r="D42" t="s">
        <v>191</v>
      </c>
      <c r="E42" t="s">
        <v>756</v>
      </c>
      <c r="F42" t="s">
        <v>757</v>
      </c>
      <c r="G42">
        <v>41900</v>
      </c>
      <c r="H42">
        <v>0</v>
      </c>
      <c r="I42">
        <v>1255600</v>
      </c>
    </row>
    <row r="43" spans="1:9" s="85" customFormat="1" ht="15.75" hidden="1" x14ac:dyDescent="0.25">
      <c r="A43" s="85" t="s">
        <v>758</v>
      </c>
      <c r="B43" s="105">
        <v>45184</v>
      </c>
      <c r="C43" s="85" t="s">
        <v>245</v>
      </c>
      <c r="D43" s="85" t="s">
        <v>246</v>
      </c>
      <c r="E43" s="85" t="s">
        <v>759</v>
      </c>
      <c r="F43" s="85" t="s">
        <v>760</v>
      </c>
      <c r="G43" s="85">
        <v>0</v>
      </c>
      <c r="H43" s="85">
        <v>1000000</v>
      </c>
      <c r="I43" s="85">
        <v>255600</v>
      </c>
    </row>
    <row r="44" spans="1:9" ht="15.75" hidden="1" x14ac:dyDescent="0.25">
      <c r="A44" t="s">
        <v>761</v>
      </c>
      <c r="B44" s="2">
        <v>45184</v>
      </c>
      <c r="C44" t="s">
        <v>245</v>
      </c>
      <c r="D44" t="s">
        <v>246</v>
      </c>
      <c r="E44" t="s">
        <v>762</v>
      </c>
      <c r="F44" t="s">
        <v>763</v>
      </c>
      <c r="G44">
        <v>1000000</v>
      </c>
      <c r="H44">
        <v>0</v>
      </c>
      <c r="I44">
        <v>255600</v>
      </c>
    </row>
    <row r="45" spans="1:9" s="85" customFormat="1" ht="15.75" hidden="1" x14ac:dyDescent="0.25">
      <c r="A45" s="85" t="s">
        <v>764</v>
      </c>
      <c r="B45" s="105">
        <v>45187</v>
      </c>
      <c r="C45" s="85" t="s">
        <v>438</v>
      </c>
      <c r="D45" s="85" t="s">
        <v>266</v>
      </c>
      <c r="E45" s="85" t="s">
        <v>765</v>
      </c>
      <c r="F45" s="85" t="s">
        <v>766</v>
      </c>
      <c r="G45" s="85">
        <v>0</v>
      </c>
      <c r="H45" s="85">
        <v>710800</v>
      </c>
      <c r="I45" s="85">
        <v>-455200</v>
      </c>
    </row>
    <row r="46" spans="1:9" s="85" customFormat="1" ht="15.75" hidden="1" x14ac:dyDescent="0.25">
      <c r="A46" s="85" t="s">
        <v>767</v>
      </c>
      <c r="B46" s="105">
        <v>45187</v>
      </c>
      <c r="C46" s="85" t="s">
        <v>190</v>
      </c>
      <c r="D46" s="85" t="s">
        <v>191</v>
      </c>
      <c r="E46" s="85" t="s">
        <v>768</v>
      </c>
      <c r="F46" s="85" t="s">
        <v>769</v>
      </c>
      <c r="G46" s="85">
        <v>0</v>
      </c>
      <c r="H46" s="85">
        <v>222000</v>
      </c>
      <c r="I46" s="85">
        <v>-677200</v>
      </c>
    </row>
    <row r="47" spans="1:9" s="85" customFormat="1" ht="15.75" hidden="1" x14ac:dyDescent="0.25">
      <c r="A47" s="85" t="s">
        <v>770</v>
      </c>
      <c r="B47" s="105">
        <v>45187</v>
      </c>
      <c r="C47" s="85" t="s">
        <v>190</v>
      </c>
      <c r="D47" s="85" t="s">
        <v>191</v>
      </c>
      <c r="E47" s="85" t="s">
        <v>771</v>
      </c>
      <c r="F47" s="85" t="s">
        <v>772</v>
      </c>
      <c r="G47" s="85">
        <v>0</v>
      </c>
      <c r="H47" s="85">
        <v>500000</v>
      </c>
      <c r="I47" s="85">
        <v>-1177200</v>
      </c>
    </row>
    <row r="48" spans="1:9" s="85" customFormat="1" ht="15.75" hidden="1" x14ac:dyDescent="0.25">
      <c r="A48" s="85" t="s">
        <v>773</v>
      </c>
      <c r="B48" s="105">
        <v>45187</v>
      </c>
      <c r="C48" s="85" t="s">
        <v>190</v>
      </c>
      <c r="D48" s="85" t="s">
        <v>191</v>
      </c>
      <c r="E48" s="85" t="s">
        <v>774</v>
      </c>
      <c r="F48" s="85" t="s">
        <v>775</v>
      </c>
      <c r="G48" s="85">
        <v>0</v>
      </c>
      <c r="H48" s="85">
        <v>300000</v>
      </c>
      <c r="I48" s="85">
        <v>-1477200</v>
      </c>
    </row>
    <row r="49" spans="1:9" s="85" customFormat="1" ht="15.75" x14ac:dyDescent="0.25">
      <c r="A49" s="85" t="s">
        <v>776</v>
      </c>
      <c r="B49" s="105">
        <v>45187</v>
      </c>
      <c r="C49" s="85" t="s">
        <v>353</v>
      </c>
      <c r="D49" s="85" t="s">
        <v>191</v>
      </c>
      <c r="E49" s="85" t="s">
        <v>777</v>
      </c>
      <c r="F49" s="85" t="s">
        <v>778</v>
      </c>
      <c r="G49" s="85">
        <v>0</v>
      </c>
      <c r="H49" s="85">
        <v>100000</v>
      </c>
      <c r="I49" s="85">
        <v>-1577200</v>
      </c>
    </row>
    <row r="50" spans="1:9" s="85" customFormat="1" ht="15.75" hidden="1" x14ac:dyDescent="0.25">
      <c r="A50" s="85" t="s">
        <v>779</v>
      </c>
      <c r="B50" s="105">
        <v>45187</v>
      </c>
      <c r="C50" s="85" t="s">
        <v>265</v>
      </c>
      <c r="D50" s="85" t="s">
        <v>191</v>
      </c>
      <c r="E50" s="85" t="s">
        <v>780</v>
      </c>
      <c r="F50" s="85" t="s">
        <v>781</v>
      </c>
      <c r="G50" s="85">
        <v>0</v>
      </c>
      <c r="H50" s="85">
        <v>180000</v>
      </c>
      <c r="I50" s="85">
        <v>-1757200</v>
      </c>
    </row>
    <row r="51" spans="1:9" s="85" customFormat="1" ht="15.75" hidden="1" x14ac:dyDescent="0.25">
      <c r="A51" s="85" t="s">
        <v>782</v>
      </c>
      <c r="B51" s="105">
        <v>45187</v>
      </c>
      <c r="C51" s="85" t="s">
        <v>203</v>
      </c>
      <c r="D51" s="85" t="s">
        <v>204</v>
      </c>
      <c r="E51" s="85" t="s">
        <v>783</v>
      </c>
      <c r="F51" s="85" t="s">
        <v>784</v>
      </c>
      <c r="G51" s="85">
        <v>0</v>
      </c>
      <c r="H51" s="85">
        <v>400000</v>
      </c>
      <c r="I51" s="85">
        <v>-2157200</v>
      </c>
    </row>
    <row r="52" spans="1:9" s="85" customFormat="1" ht="15.75" hidden="1" x14ac:dyDescent="0.25">
      <c r="A52" s="85" t="s">
        <v>785</v>
      </c>
      <c r="B52" s="105">
        <v>45187</v>
      </c>
      <c r="C52" s="85" t="s">
        <v>229</v>
      </c>
      <c r="D52" s="85" t="s">
        <v>204</v>
      </c>
      <c r="E52" s="85" t="s">
        <v>786</v>
      </c>
      <c r="F52" s="85" t="s">
        <v>787</v>
      </c>
      <c r="G52" s="85">
        <v>0</v>
      </c>
      <c r="H52" s="85">
        <v>500000</v>
      </c>
      <c r="I52" s="85">
        <v>-2657200</v>
      </c>
    </row>
    <row r="53" spans="1:9" s="85" customFormat="1" ht="15.75" hidden="1" x14ac:dyDescent="0.25">
      <c r="A53" s="85" t="s">
        <v>788</v>
      </c>
      <c r="B53" s="105">
        <v>45187</v>
      </c>
      <c r="C53" s="85" t="s">
        <v>229</v>
      </c>
      <c r="D53" s="85" t="s">
        <v>204</v>
      </c>
      <c r="E53" s="85" t="s">
        <v>789</v>
      </c>
      <c r="F53" s="85" t="s">
        <v>790</v>
      </c>
      <c r="G53" s="85">
        <v>0</v>
      </c>
      <c r="H53" s="85">
        <v>500000</v>
      </c>
      <c r="I53" s="85">
        <v>-3157200</v>
      </c>
    </row>
    <row r="54" spans="1:9" s="85" customFormat="1" ht="15.75" hidden="1" x14ac:dyDescent="0.25">
      <c r="A54" s="85" t="s">
        <v>791</v>
      </c>
      <c r="B54" s="105">
        <v>45187</v>
      </c>
      <c r="C54" s="85" t="s">
        <v>229</v>
      </c>
      <c r="D54" s="85" t="s">
        <v>204</v>
      </c>
      <c r="E54" s="85" t="s">
        <v>792</v>
      </c>
      <c r="F54" s="85" t="s">
        <v>793</v>
      </c>
      <c r="G54" s="85">
        <v>0</v>
      </c>
      <c r="H54" s="85">
        <v>500000</v>
      </c>
      <c r="I54" s="85">
        <v>-3657200</v>
      </c>
    </row>
    <row r="55" spans="1:9" ht="15.75" hidden="1" x14ac:dyDescent="0.25">
      <c r="A55" t="s">
        <v>794</v>
      </c>
      <c r="B55" s="2">
        <v>45187</v>
      </c>
      <c r="C55" t="s">
        <v>245</v>
      </c>
      <c r="D55" t="s">
        <v>246</v>
      </c>
      <c r="E55" t="s">
        <v>795</v>
      </c>
      <c r="F55" t="s">
        <v>796</v>
      </c>
      <c r="G55">
        <v>0</v>
      </c>
      <c r="H55">
        <v>41000</v>
      </c>
      <c r="I55">
        <v>-3698200</v>
      </c>
    </row>
    <row r="56" spans="1:9" ht="15.75" hidden="1" x14ac:dyDescent="0.25">
      <c r="A56" t="s">
        <v>797</v>
      </c>
      <c r="B56" s="2">
        <v>45187</v>
      </c>
      <c r="C56" t="s">
        <v>211</v>
      </c>
      <c r="D56" t="s">
        <v>204</v>
      </c>
      <c r="E56" t="s">
        <v>798</v>
      </c>
      <c r="F56" t="s">
        <v>799</v>
      </c>
      <c r="G56">
        <v>0</v>
      </c>
      <c r="H56">
        <v>1850</v>
      </c>
      <c r="I56">
        <v>-3700050</v>
      </c>
    </row>
    <row r="57" spans="1:9" ht="15.75" hidden="1" x14ac:dyDescent="0.25">
      <c r="A57" t="s">
        <v>800</v>
      </c>
      <c r="B57" s="2">
        <v>45187</v>
      </c>
      <c r="C57" t="s">
        <v>245</v>
      </c>
      <c r="D57" t="s">
        <v>246</v>
      </c>
      <c r="E57" t="s">
        <v>801</v>
      </c>
      <c r="F57" t="s">
        <v>802</v>
      </c>
      <c r="G57">
        <v>8000000</v>
      </c>
      <c r="H57">
        <v>0</v>
      </c>
      <c r="I57">
        <v>4299950</v>
      </c>
    </row>
    <row r="58" spans="1:9" s="85" customFormat="1" ht="15.75" hidden="1" x14ac:dyDescent="0.25">
      <c r="A58" s="85" t="s">
        <v>803</v>
      </c>
      <c r="B58" s="105">
        <v>45189</v>
      </c>
      <c r="C58" s="85" t="s">
        <v>190</v>
      </c>
      <c r="D58" s="85" t="s">
        <v>191</v>
      </c>
      <c r="E58" s="85" t="s">
        <v>804</v>
      </c>
      <c r="F58" s="85" t="s">
        <v>805</v>
      </c>
      <c r="G58" s="85">
        <v>0</v>
      </c>
      <c r="H58" s="85">
        <v>210000</v>
      </c>
      <c r="I58" s="85">
        <v>4089950</v>
      </c>
    </row>
    <row r="59" spans="1:9" ht="15.75" hidden="1" x14ac:dyDescent="0.25">
      <c r="A59" t="s">
        <v>806</v>
      </c>
      <c r="B59" s="2">
        <v>45189</v>
      </c>
      <c r="C59" t="s">
        <v>514</v>
      </c>
      <c r="D59" t="s">
        <v>191</v>
      </c>
      <c r="E59" t="s">
        <v>807</v>
      </c>
      <c r="F59" t="s">
        <v>808</v>
      </c>
      <c r="G59">
        <v>0</v>
      </c>
      <c r="H59">
        <v>35000</v>
      </c>
      <c r="I59">
        <v>4054950</v>
      </c>
    </row>
    <row r="60" spans="1:9" s="85" customFormat="1" ht="15.75" hidden="1" x14ac:dyDescent="0.25">
      <c r="A60" s="85" t="s">
        <v>809</v>
      </c>
      <c r="B60" s="105">
        <v>45189</v>
      </c>
      <c r="C60" s="85" t="s">
        <v>190</v>
      </c>
      <c r="D60" s="85" t="s">
        <v>191</v>
      </c>
      <c r="E60" s="85" t="s">
        <v>810</v>
      </c>
      <c r="F60" s="85" t="s">
        <v>811</v>
      </c>
      <c r="G60" s="85">
        <v>0</v>
      </c>
      <c r="H60" s="85">
        <v>900000</v>
      </c>
      <c r="I60" s="85">
        <v>3154950</v>
      </c>
    </row>
    <row r="61" spans="1:9" s="85" customFormat="1" ht="15.75" hidden="1" x14ac:dyDescent="0.25">
      <c r="A61" s="85" t="s">
        <v>812</v>
      </c>
      <c r="B61" s="105">
        <v>45189</v>
      </c>
      <c r="C61" s="85" t="s">
        <v>190</v>
      </c>
      <c r="D61" s="85" t="s">
        <v>191</v>
      </c>
      <c r="E61" s="85" t="s">
        <v>813</v>
      </c>
      <c r="F61" s="85" t="s">
        <v>814</v>
      </c>
      <c r="G61" s="85">
        <v>0</v>
      </c>
      <c r="H61" s="85">
        <v>1000000</v>
      </c>
      <c r="I61" s="85">
        <v>2154950</v>
      </c>
    </row>
    <row r="62" spans="1:9" s="85" customFormat="1" ht="15.75" hidden="1" x14ac:dyDescent="0.25">
      <c r="A62" s="85" t="s">
        <v>815</v>
      </c>
      <c r="B62" s="105">
        <v>45189</v>
      </c>
      <c r="C62" s="85" t="s">
        <v>190</v>
      </c>
      <c r="D62" s="85" t="s">
        <v>191</v>
      </c>
      <c r="E62" s="85" t="s">
        <v>816</v>
      </c>
      <c r="F62" s="85" t="s">
        <v>817</v>
      </c>
      <c r="G62" s="85">
        <v>0</v>
      </c>
      <c r="H62" s="85">
        <v>1300000</v>
      </c>
      <c r="I62" s="85">
        <v>854950</v>
      </c>
    </row>
    <row r="63" spans="1:9" s="85" customFormat="1" ht="15.75" hidden="1" x14ac:dyDescent="0.25">
      <c r="A63" s="85" t="s">
        <v>818</v>
      </c>
      <c r="B63" s="105">
        <v>45189</v>
      </c>
      <c r="C63" s="85" t="s">
        <v>190</v>
      </c>
      <c r="D63" s="85" t="s">
        <v>191</v>
      </c>
      <c r="E63" s="85" t="s">
        <v>819</v>
      </c>
      <c r="F63" s="85" t="s">
        <v>820</v>
      </c>
      <c r="G63" s="85">
        <v>0</v>
      </c>
      <c r="H63" s="85">
        <v>600000</v>
      </c>
      <c r="I63" s="85">
        <v>254950</v>
      </c>
    </row>
    <row r="64" spans="1:9" s="85" customFormat="1" ht="15.75" hidden="1" x14ac:dyDescent="0.25">
      <c r="A64" s="85" t="s">
        <v>821</v>
      </c>
      <c r="B64" s="105">
        <v>45189</v>
      </c>
      <c r="C64" s="85" t="s">
        <v>190</v>
      </c>
      <c r="D64" s="85" t="s">
        <v>191</v>
      </c>
      <c r="E64" s="85" t="s">
        <v>822</v>
      </c>
      <c r="F64" s="85" t="s">
        <v>823</v>
      </c>
      <c r="G64" s="85">
        <v>0</v>
      </c>
      <c r="H64" s="85">
        <v>1000000</v>
      </c>
      <c r="I64" s="85">
        <v>-745050</v>
      </c>
    </row>
    <row r="65" spans="1:9" ht="15.75" hidden="1" x14ac:dyDescent="0.25">
      <c r="A65" t="s">
        <v>824</v>
      </c>
      <c r="B65" s="2">
        <v>45189</v>
      </c>
      <c r="C65" t="s">
        <v>211</v>
      </c>
      <c r="D65" t="s">
        <v>204</v>
      </c>
      <c r="E65" t="s">
        <v>825</v>
      </c>
      <c r="F65" t="s">
        <v>826</v>
      </c>
      <c r="G65">
        <v>0</v>
      </c>
      <c r="H65">
        <v>2700</v>
      </c>
      <c r="I65">
        <v>-747750</v>
      </c>
    </row>
    <row r="66" spans="1:9" s="85" customFormat="1" ht="15.75" x14ac:dyDescent="0.25">
      <c r="A66" s="85" t="s">
        <v>827</v>
      </c>
      <c r="B66" s="105">
        <v>45189</v>
      </c>
      <c r="C66" s="85" t="s">
        <v>215</v>
      </c>
      <c r="D66" s="85" t="s">
        <v>266</v>
      </c>
      <c r="E66" s="85" t="s">
        <v>828</v>
      </c>
      <c r="F66" s="85" t="s">
        <v>829</v>
      </c>
      <c r="G66" s="85">
        <v>0</v>
      </c>
      <c r="H66" s="85">
        <v>100000</v>
      </c>
      <c r="I66" s="85">
        <v>-847750</v>
      </c>
    </row>
    <row r="67" spans="1:9" ht="15.75" hidden="1" x14ac:dyDescent="0.25">
      <c r="A67" t="s">
        <v>830</v>
      </c>
      <c r="B67" s="2">
        <v>45189</v>
      </c>
      <c r="C67" t="s">
        <v>270</v>
      </c>
      <c r="D67" t="s">
        <v>266</v>
      </c>
      <c r="E67" t="s">
        <v>831</v>
      </c>
      <c r="F67" t="s">
        <v>832</v>
      </c>
      <c r="G67">
        <v>0</v>
      </c>
      <c r="H67">
        <v>70000</v>
      </c>
      <c r="I67">
        <v>-917750</v>
      </c>
    </row>
    <row r="68" spans="1:9" ht="15.75" hidden="1" x14ac:dyDescent="0.25">
      <c r="A68" t="s">
        <v>833</v>
      </c>
      <c r="B68" s="2">
        <v>45189</v>
      </c>
      <c r="C68" t="s">
        <v>211</v>
      </c>
      <c r="D68" t="s">
        <v>266</v>
      </c>
      <c r="E68" t="s">
        <v>834</v>
      </c>
      <c r="F68" t="s">
        <v>835</v>
      </c>
      <c r="G68">
        <v>0</v>
      </c>
      <c r="H68">
        <v>76800</v>
      </c>
      <c r="I68">
        <v>-994550</v>
      </c>
    </row>
    <row r="69" spans="1:9" s="85" customFormat="1" ht="15.75" hidden="1" x14ac:dyDescent="0.25">
      <c r="A69" s="85" t="s">
        <v>836</v>
      </c>
      <c r="B69" s="105">
        <v>45189</v>
      </c>
      <c r="C69" s="85" t="s">
        <v>353</v>
      </c>
      <c r="D69" s="85" t="s">
        <v>266</v>
      </c>
      <c r="E69" s="85" t="s">
        <v>837</v>
      </c>
      <c r="F69" s="85" t="s">
        <v>838</v>
      </c>
      <c r="G69" s="85">
        <v>0</v>
      </c>
      <c r="H69" s="85">
        <v>120000</v>
      </c>
      <c r="I69" s="85">
        <v>-1114550</v>
      </c>
    </row>
    <row r="70" spans="1:9" s="136" customFormat="1" ht="15.75" hidden="1" x14ac:dyDescent="0.25">
      <c r="A70" s="136" t="s">
        <v>839</v>
      </c>
      <c r="B70" s="137">
        <v>45189</v>
      </c>
      <c r="C70" s="136" t="s">
        <v>190</v>
      </c>
      <c r="D70" s="136" t="s">
        <v>191</v>
      </c>
      <c r="E70" s="136" t="s">
        <v>840</v>
      </c>
      <c r="F70" s="136" t="s">
        <v>841</v>
      </c>
      <c r="G70" s="136">
        <v>0</v>
      </c>
      <c r="H70" s="136">
        <v>129000</v>
      </c>
      <c r="I70" s="136">
        <v>-1243550</v>
      </c>
    </row>
    <row r="71" spans="1:9" ht="15.75" hidden="1" x14ac:dyDescent="0.25">
      <c r="A71" t="s">
        <v>839</v>
      </c>
      <c r="B71" s="2">
        <v>45189</v>
      </c>
      <c r="C71" t="s">
        <v>190</v>
      </c>
      <c r="D71" t="s">
        <v>191</v>
      </c>
      <c r="E71" t="s">
        <v>842</v>
      </c>
      <c r="F71" t="s">
        <v>843</v>
      </c>
      <c r="G71">
        <v>129000</v>
      </c>
      <c r="H71">
        <v>0</v>
      </c>
      <c r="I71">
        <v>-1114550</v>
      </c>
    </row>
    <row r="72" spans="1:9" ht="15.75" hidden="1" x14ac:dyDescent="0.25">
      <c r="A72" t="s">
        <v>844</v>
      </c>
      <c r="B72" s="2">
        <v>45189</v>
      </c>
      <c r="C72" t="s">
        <v>190</v>
      </c>
      <c r="D72" t="s">
        <v>191</v>
      </c>
      <c r="E72" t="s">
        <v>845</v>
      </c>
      <c r="F72" t="s">
        <v>846</v>
      </c>
      <c r="G72">
        <v>129000</v>
      </c>
      <c r="H72">
        <v>0</v>
      </c>
      <c r="I72">
        <v>-985550</v>
      </c>
    </row>
    <row r="73" spans="1:9" ht="15.75" hidden="1" x14ac:dyDescent="0.25">
      <c r="A73" t="s">
        <v>847</v>
      </c>
      <c r="B73" s="2">
        <v>45189</v>
      </c>
      <c r="C73" t="s">
        <v>190</v>
      </c>
      <c r="D73" t="s">
        <v>191</v>
      </c>
      <c r="E73" t="s">
        <v>848</v>
      </c>
      <c r="F73" t="s">
        <v>849</v>
      </c>
      <c r="G73">
        <v>560000</v>
      </c>
      <c r="H73">
        <v>0</v>
      </c>
      <c r="I73">
        <v>-425550</v>
      </c>
    </row>
    <row r="74" spans="1:9" ht="15.75" hidden="1" x14ac:dyDescent="0.25">
      <c r="A74" t="s">
        <v>850</v>
      </c>
      <c r="B74" s="2">
        <v>45189</v>
      </c>
      <c r="C74" t="s">
        <v>190</v>
      </c>
      <c r="D74" t="s">
        <v>191</v>
      </c>
      <c r="E74" t="s">
        <v>851</v>
      </c>
      <c r="F74" t="s">
        <v>852</v>
      </c>
      <c r="G74">
        <v>327450</v>
      </c>
      <c r="H74">
        <v>0</v>
      </c>
      <c r="I74">
        <v>-98100</v>
      </c>
    </row>
    <row r="75" spans="1:9" ht="15.75" hidden="1" x14ac:dyDescent="0.25">
      <c r="A75" t="s">
        <v>853</v>
      </c>
      <c r="B75" s="2">
        <v>45189</v>
      </c>
      <c r="C75" t="s">
        <v>229</v>
      </c>
      <c r="D75" t="s">
        <v>204</v>
      </c>
      <c r="E75" t="s">
        <v>854</v>
      </c>
      <c r="F75" t="s">
        <v>855</v>
      </c>
      <c r="G75">
        <v>200000</v>
      </c>
      <c r="H75">
        <v>0</v>
      </c>
      <c r="I75">
        <v>101900</v>
      </c>
    </row>
    <row r="76" spans="1:9" ht="15.75" hidden="1" x14ac:dyDescent="0.25">
      <c r="A76" t="s">
        <v>856</v>
      </c>
      <c r="B76" s="2">
        <v>45189</v>
      </c>
      <c r="C76" t="s">
        <v>229</v>
      </c>
      <c r="D76" t="s">
        <v>191</v>
      </c>
      <c r="E76" t="s">
        <v>857</v>
      </c>
      <c r="F76" t="s">
        <v>858</v>
      </c>
      <c r="G76">
        <v>230000</v>
      </c>
      <c r="H76">
        <v>0</v>
      </c>
      <c r="I76">
        <v>331900</v>
      </c>
    </row>
    <row r="77" spans="1:9" ht="15.75" hidden="1" x14ac:dyDescent="0.25">
      <c r="A77" t="s">
        <v>859</v>
      </c>
      <c r="B77" s="2">
        <v>45189</v>
      </c>
      <c r="C77" t="s">
        <v>23</v>
      </c>
      <c r="D77" t="s">
        <v>860</v>
      </c>
      <c r="E77" t="s">
        <v>861</v>
      </c>
      <c r="F77" t="s">
        <v>862</v>
      </c>
      <c r="G77">
        <v>194000</v>
      </c>
      <c r="H77">
        <v>0</v>
      </c>
      <c r="I77">
        <v>525900</v>
      </c>
    </row>
    <row r="78" spans="1:9" ht="15.75" hidden="1" x14ac:dyDescent="0.25">
      <c r="A78" t="s">
        <v>863</v>
      </c>
      <c r="B78" s="2">
        <v>45191</v>
      </c>
      <c r="C78" t="s">
        <v>211</v>
      </c>
      <c r="D78" t="s">
        <v>266</v>
      </c>
      <c r="E78" t="s">
        <v>864</v>
      </c>
      <c r="F78" t="s">
        <v>865</v>
      </c>
      <c r="G78">
        <v>0</v>
      </c>
      <c r="H78">
        <v>10900</v>
      </c>
      <c r="I78">
        <v>-3438500</v>
      </c>
    </row>
    <row r="79" spans="1:9" s="85" customFormat="1" ht="15.75" hidden="1" x14ac:dyDescent="0.25">
      <c r="A79" s="85" t="s">
        <v>866</v>
      </c>
      <c r="B79" s="105">
        <v>45195</v>
      </c>
      <c r="C79" s="85" t="s">
        <v>245</v>
      </c>
      <c r="D79" s="85" t="s">
        <v>246</v>
      </c>
      <c r="E79" s="85" t="s">
        <v>867</v>
      </c>
      <c r="F79" s="85" t="s">
        <v>868</v>
      </c>
      <c r="G79" s="85">
        <v>0</v>
      </c>
      <c r="H79" s="85">
        <v>1240500</v>
      </c>
      <c r="I79" s="85">
        <v>-579000</v>
      </c>
    </row>
    <row r="80" spans="1:9" ht="15.75" hidden="1" x14ac:dyDescent="0.25">
      <c r="A80" t="s">
        <v>869</v>
      </c>
      <c r="B80" s="2">
        <v>45195</v>
      </c>
      <c r="C80" t="s">
        <v>23</v>
      </c>
      <c r="D80" t="s">
        <v>870</v>
      </c>
      <c r="E80" t="s">
        <v>871</v>
      </c>
      <c r="F80" t="s">
        <v>872</v>
      </c>
      <c r="G80">
        <v>900000</v>
      </c>
      <c r="H80">
        <v>0</v>
      </c>
      <c r="I80">
        <v>321000</v>
      </c>
    </row>
    <row r="81" spans="1:9" s="85" customFormat="1" ht="15.75" hidden="1" x14ac:dyDescent="0.25">
      <c r="A81" s="85" t="s">
        <v>873</v>
      </c>
      <c r="B81" s="105">
        <v>45195</v>
      </c>
      <c r="C81" s="85" t="s">
        <v>874</v>
      </c>
      <c r="D81" s="85" t="s">
        <v>266</v>
      </c>
      <c r="E81" s="85" t="s">
        <v>875</v>
      </c>
      <c r="F81" s="85" t="s">
        <v>876</v>
      </c>
      <c r="G81" s="85">
        <v>0</v>
      </c>
      <c r="H81" s="85">
        <v>500000</v>
      </c>
      <c r="I81" s="85">
        <v>-179000</v>
      </c>
    </row>
    <row r="82" spans="1:9" s="85" customFormat="1" ht="15.75" hidden="1" x14ac:dyDescent="0.25">
      <c r="A82" s="85" t="s">
        <v>877</v>
      </c>
      <c r="B82" s="105">
        <v>45195</v>
      </c>
      <c r="C82" s="85" t="s">
        <v>219</v>
      </c>
      <c r="D82" s="85" t="s">
        <v>204</v>
      </c>
      <c r="E82" s="85" t="s">
        <v>878</v>
      </c>
      <c r="F82" s="85" t="s">
        <v>879</v>
      </c>
      <c r="G82" s="85">
        <v>0</v>
      </c>
      <c r="H82" s="85">
        <v>194000</v>
      </c>
      <c r="I82" s="85">
        <v>-373000</v>
      </c>
    </row>
    <row r="83" spans="1:9" ht="15.75" hidden="1" x14ac:dyDescent="0.25">
      <c r="A83" t="s">
        <v>880</v>
      </c>
      <c r="B83" s="2">
        <v>45195</v>
      </c>
      <c r="C83" t="s">
        <v>219</v>
      </c>
      <c r="D83" t="s">
        <v>204</v>
      </c>
      <c r="E83" t="s">
        <v>881</v>
      </c>
      <c r="F83" t="s">
        <v>882</v>
      </c>
      <c r="G83">
        <v>0</v>
      </c>
      <c r="H83">
        <v>33500</v>
      </c>
      <c r="I83">
        <v>-406500</v>
      </c>
    </row>
    <row r="84" spans="1:9" s="85" customFormat="1" ht="15.75" hidden="1" x14ac:dyDescent="0.25">
      <c r="A84" s="85" t="s">
        <v>883</v>
      </c>
      <c r="B84" s="105">
        <v>45195</v>
      </c>
      <c r="C84" s="85" t="s">
        <v>219</v>
      </c>
      <c r="D84" s="85" t="s">
        <v>204</v>
      </c>
      <c r="E84" s="85" t="s">
        <v>884</v>
      </c>
      <c r="F84" s="85" t="s">
        <v>885</v>
      </c>
      <c r="G84" s="85">
        <v>0</v>
      </c>
      <c r="H84" s="85">
        <v>193000</v>
      </c>
      <c r="I84" s="85">
        <v>-599500</v>
      </c>
    </row>
    <row r="85" spans="1:9" s="85" customFormat="1" ht="15.75" hidden="1" x14ac:dyDescent="0.25">
      <c r="A85" s="85" t="s">
        <v>886</v>
      </c>
      <c r="B85" s="105">
        <v>45195</v>
      </c>
      <c r="C85" s="85" t="s">
        <v>229</v>
      </c>
      <c r="D85" s="85" t="s">
        <v>204</v>
      </c>
      <c r="E85" s="85" t="s">
        <v>887</v>
      </c>
      <c r="F85" s="85" t="s">
        <v>888</v>
      </c>
      <c r="G85" s="85">
        <v>0</v>
      </c>
      <c r="H85" s="85">
        <v>220000</v>
      </c>
      <c r="I85" s="85">
        <v>-819500</v>
      </c>
    </row>
    <row r="86" spans="1:9" s="85" customFormat="1" ht="15.75" hidden="1" x14ac:dyDescent="0.25">
      <c r="A86" s="85" t="s">
        <v>889</v>
      </c>
      <c r="B86" s="105">
        <v>45195</v>
      </c>
      <c r="C86" s="85" t="s">
        <v>219</v>
      </c>
      <c r="D86" s="85" t="s">
        <v>204</v>
      </c>
      <c r="E86" s="85" t="s">
        <v>890</v>
      </c>
      <c r="F86" s="85" t="s">
        <v>891</v>
      </c>
      <c r="G86" s="85">
        <v>0</v>
      </c>
      <c r="H86" s="85">
        <v>253000</v>
      </c>
      <c r="I86" s="85">
        <v>-1072500</v>
      </c>
    </row>
    <row r="87" spans="1:9" s="85" customFormat="1" ht="15.75" hidden="1" x14ac:dyDescent="0.25">
      <c r="A87" s="85" t="s">
        <v>892</v>
      </c>
      <c r="B87" s="105">
        <v>45195</v>
      </c>
      <c r="C87" s="85" t="s">
        <v>190</v>
      </c>
      <c r="D87" s="85" t="s">
        <v>191</v>
      </c>
      <c r="E87" s="85" t="s">
        <v>893</v>
      </c>
      <c r="F87" s="85" t="s">
        <v>894</v>
      </c>
      <c r="G87" s="85">
        <v>0</v>
      </c>
      <c r="H87" s="85">
        <v>500000</v>
      </c>
      <c r="I87" s="85">
        <v>-1572500</v>
      </c>
    </row>
    <row r="88" spans="1:9" s="85" customFormat="1" ht="15.75" hidden="1" x14ac:dyDescent="0.25">
      <c r="A88" s="85" t="s">
        <v>895</v>
      </c>
      <c r="B88" s="105">
        <v>45195</v>
      </c>
      <c r="C88" s="85" t="s">
        <v>190</v>
      </c>
      <c r="D88" s="85" t="s">
        <v>191</v>
      </c>
      <c r="E88" s="85" t="s">
        <v>896</v>
      </c>
      <c r="F88" s="85" t="s">
        <v>897</v>
      </c>
      <c r="G88" s="85">
        <v>0</v>
      </c>
      <c r="H88" s="85">
        <v>500000</v>
      </c>
      <c r="I88" s="85">
        <v>-2072500</v>
      </c>
    </row>
    <row r="89" spans="1:9" s="85" customFormat="1" ht="15.75" hidden="1" x14ac:dyDescent="0.25">
      <c r="A89" s="85" t="s">
        <v>898</v>
      </c>
      <c r="B89" s="105">
        <v>45195</v>
      </c>
      <c r="C89" s="85" t="s">
        <v>190</v>
      </c>
      <c r="D89" s="85" t="s">
        <v>191</v>
      </c>
      <c r="E89" s="85" t="s">
        <v>899</v>
      </c>
      <c r="F89" s="85" t="s">
        <v>900</v>
      </c>
      <c r="G89" s="85">
        <v>0</v>
      </c>
      <c r="H89" s="85">
        <v>500000</v>
      </c>
      <c r="I89" s="85">
        <v>-2572500</v>
      </c>
    </row>
    <row r="90" spans="1:9" s="85" customFormat="1" ht="15.75" hidden="1" x14ac:dyDescent="0.25">
      <c r="A90" s="85" t="s">
        <v>901</v>
      </c>
      <c r="B90" s="105">
        <v>45195</v>
      </c>
      <c r="C90" s="85" t="s">
        <v>190</v>
      </c>
      <c r="D90" s="85" t="s">
        <v>191</v>
      </c>
      <c r="E90" s="85" t="s">
        <v>902</v>
      </c>
      <c r="F90" s="85" t="s">
        <v>903</v>
      </c>
      <c r="G90" s="85">
        <v>0</v>
      </c>
      <c r="H90" s="85">
        <v>500000</v>
      </c>
      <c r="I90" s="85">
        <v>-3072500</v>
      </c>
    </row>
    <row r="91" spans="1:9" s="85" customFormat="1" ht="15.75" hidden="1" x14ac:dyDescent="0.25">
      <c r="A91" s="85" t="s">
        <v>904</v>
      </c>
      <c r="B91" s="105">
        <v>45195</v>
      </c>
      <c r="C91" s="85" t="s">
        <v>190</v>
      </c>
      <c r="D91" s="85" t="s">
        <v>191</v>
      </c>
      <c r="E91" s="85" t="s">
        <v>905</v>
      </c>
      <c r="F91" s="85" t="s">
        <v>906</v>
      </c>
      <c r="G91" s="85">
        <v>0</v>
      </c>
      <c r="H91" s="85">
        <v>500000</v>
      </c>
      <c r="I91" s="85">
        <v>-3572500</v>
      </c>
    </row>
    <row r="92" spans="1:9" s="85" customFormat="1" ht="15.75" hidden="1" x14ac:dyDescent="0.25">
      <c r="A92" s="85" t="s">
        <v>907</v>
      </c>
      <c r="B92" s="105">
        <v>45195</v>
      </c>
      <c r="C92" s="85" t="s">
        <v>190</v>
      </c>
      <c r="D92" s="85" t="s">
        <v>191</v>
      </c>
      <c r="E92" s="85" t="s">
        <v>908</v>
      </c>
      <c r="F92" s="85" t="s">
        <v>909</v>
      </c>
      <c r="G92" s="85">
        <v>0</v>
      </c>
      <c r="H92" s="85">
        <v>1300000</v>
      </c>
      <c r="I92" s="85">
        <v>-4872500</v>
      </c>
    </row>
    <row r="93" spans="1:9" ht="15.75" hidden="1" x14ac:dyDescent="0.25">
      <c r="A93" t="s">
        <v>910</v>
      </c>
      <c r="B93" s="2">
        <v>45195</v>
      </c>
      <c r="C93" t="s">
        <v>270</v>
      </c>
      <c r="D93" t="s">
        <v>266</v>
      </c>
      <c r="E93" t="s">
        <v>911</v>
      </c>
      <c r="F93" t="s">
        <v>912</v>
      </c>
      <c r="G93">
        <v>0</v>
      </c>
      <c r="H93">
        <v>5000</v>
      </c>
      <c r="I93">
        <v>-4877500</v>
      </c>
    </row>
    <row r="94" spans="1:9" s="85" customFormat="1" ht="15.75" hidden="1" x14ac:dyDescent="0.25">
      <c r="A94" s="85" t="s">
        <v>913</v>
      </c>
      <c r="B94" s="105">
        <v>45195</v>
      </c>
      <c r="C94" s="85" t="s">
        <v>353</v>
      </c>
      <c r="D94" s="85" t="s">
        <v>191</v>
      </c>
      <c r="E94" s="85" t="s">
        <v>914</v>
      </c>
      <c r="F94" s="85" t="s">
        <v>915</v>
      </c>
      <c r="G94" s="85">
        <v>0</v>
      </c>
      <c r="H94" s="85">
        <v>111000</v>
      </c>
      <c r="I94" s="85">
        <v>-4988500</v>
      </c>
    </row>
    <row r="95" spans="1:9" s="85" customFormat="1" ht="15.75" x14ac:dyDescent="0.25">
      <c r="A95" s="85" t="s">
        <v>916</v>
      </c>
      <c r="B95" s="105">
        <v>45195</v>
      </c>
      <c r="C95" s="85" t="s">
        <v>190</v>
      </c>
      <c r="D95" s="85" t="s">
        <v>191</v>
      </c>
      <c r="E95" s="85" t="s">
        <v>917</v>
      </c>
      <c r="F95" s="85" t="s">
        <v>918</v>
      </c>
      <c r="G95" s="85">
        <v>0</v>
      </c>
      <c r="H95" s="85">
        <v>100000</v>
      </c>
      <c r="I95" s="85">
        <v>-5088500</v>
      </c>
    </row>
    <row r="96" spans="1:9" ht="15.75" hidden="1" x14ac:dyDescent="0.25">
      <c r="A96" t="s">
        <v>919</v>
      </c>
      <c r="B96" s="2">
        <v>45195</v>
      </c>
      <c r="C96" t="s">
        <v>229</v>
      </c>
      <c r="D96" t="s">
        <v>204</v>
      </c>
      <c r="E96" t="s">
        <v>920</v>
      </c>
      <c r="F96" t="s">
        <v>921</v>
      </c>
      <c r="G96">
        <v>500000</v>
      </c>
      <c r="H96">
        <v>0</v>
      </c>
      <c r="I96">
        <v>-4588500</v>
      </c>
    </row>
    <row r="97" spans="1:9" ht="15.75" hidden="1" x14ac:dyDescent="0.25">
      <c r="A97" t="s">
        <v>922</v>
      </c>
      <c r="B97" s="2">
        <v>45195</v>
      </c>
      <c r="C97" t="s">
        <v>923</v>
      </c>
      <c r="D97" t="s">
        <v>204</v>
      </c>
      <c r="E97" t="s">
        <v>924</v>
      </c>
      <c r="F97" t="s">
        <v>925</v>
      </c>
      <c r="G97">
        <v>40000</v>
      </c>
      <c r="H97">
        <v>0</v>
      </c>
      <c r="I97">
        <v>-4548500</v>
      </c>
    </row>
    <row r="98" spans="1:9" ht="15.75" hidden="1" x14ac:dyDescent="0.25">
      <c r="A98" t="s">
        <v>926</v>
      </c>
      <c r="B98" s="2">
        <v>45195</v>
      </c>
      <c r="C98" t="s">
        <v>245</v>
      </c>
      <c r="D98" t="s">
        <v>246</v>
      </c>
      <c r="E98" t="s">
        <v>927</v>
      </c>
      <c r="F98" t="s">
        <v>927</v>
      </c>
      <c r="G98">
        <v>4700000</v>
      </c>
      <c r="H98">
        <v>0</v>
      </c>
      <c r="I98">
        <v>151500</v>
      </c>
    </row>
    <row r="99" spans="1:9" ht="15.75" hidden="1" x14ac:dyDescent="0.25">
      <c r="A99" t="s">
        <v>928</v>
      </c>
      <c r="B99" s="2">
        <v>45195</v>
      </c>
      <c r="C99" t="s">
        <v>229</v>
      </c>
      <c r="D99" t="s">
        <v>204</v>
      </c>
      <c r="E99" t="s">
        <v>929</v>
      </c>
      <c r="F99" t="s">
        <v>930</v>
      </c>
      <c r="G99">
        <v>500000</v>
      </c>
      <c r="H99">
        <v>0</v>
      </c>
      <c r="I99">
        <v>651500</v>
      </c>
    </row>
    <row r="100" spans="1:9" ht="15.75" hidden="1" x14ac:dyDescent="0.25">
      <c r="A100" t="s">
        <v>931</v>
      </c>
      <c r="B100" s="2">
        <v>45195</v>
      </c>
      <c r="C100" t="s">
        <v>190</v>
      </c>
      <c r="D100" t="s">
        <v>191</v>
      </c>
      <c r="E100" t="s">
        <v>932</v>
      </c>
      <c r="F100" t="s">
        <v>933</v>
      </c>
      <c r="G100">
        <v>380000</v>
      </c>
      <c r="H100">
        <v>0</v>
      </c>
      <c r="I100">
        <v>1031500</v>
      </c>
    </row>
    <row r="101" spans="1:9" s="85" customFormat="1" ht="15.75" hidden="1" x14ac:dyDescent="0.25">
      <c r="A101" s="85" t="s">
        <v>196</v>
      </c>
      <c r="B101" s="105">
        <v>45202</v>
      </c>
      <c r="C101" s="85" t="s">
        <v>190</v>
      </c>
      <c r="D101" s="85" t="s">
        <v>191</v>
      </c>
      <c r="E101" s="85" t="s">
        <v>197</v>
      </c>
      <c r="F101" s="85" t="s">
        <v>198</v>
      </c>
      <c r="G101" s="85">
        <v>0</v>
      </c>
      <c r="H101" s="85">
        <v>500000</v>
      </c>
      <c r="I101" s="85">
        <v>531500</v>
      </c>
    </row>
    <row r="102" spans="1:9" s="85" customFormat="1" ht="15.75" hidden="1" x14ac:dyDescent="0.25">
      <c r="A102" s="85" t="s">
        <v>199</v>
      </c>
      <c r="B102" s="105">
        <v>45202</v>
      </c>
      <c r="C102" s="85" t="s">
        <v>190</v>
      </c>
      <c r="D102" s="85" t="s">
        <v>191</v>
      </c>
      <c r="E102" s="85" t="s">
        <v>200</v>
      </c>
      <c r="F102" s="85" t="s">
        <v>201</v>
      </c>
      <c r="G102" s="85">
        <v>0</v>
      </c>
      <c r="H102" s="85">
        <v>500000</v>
      </c>
      <c r="I102" s="85">
        <v>31500</v>
      </c>
    </row>
    <row r="103" spans="1:9" s="85" customFormat="1" ht="15.75" x14ac:dyDescent="0.25">
      <c r="A103" s="85" t="s">
        <v>202</v>
      </c>
      <c r="B103" s="105">
        <v>45208</v>
      </c>
      <c r="C103" s="85" t="s">
        <v>203</v>
      </c>
      <c r="D103" s="85" t="s">
        <v>204</v>
      </c>
      <c r="E103" s="85" t="s">
        <v>205</v>
      </c>
      <c r="F103" s="85" t="s">
        <v>206</v>
      </c>
      <c r="G103" s="85">
        <v>0</v>
      </c>
      <c r="H103" s="85">
        <v>100000</v>
      </c>
      <c r="I103" s="85">
        <v>-68500</v>
      </c>
    </row>
    <row r="104" spans="1:9" ht="15.75" hidden="1" x14ac:dyDescent="0.25">
      <c r="A104" t="s">
        <v>207</v>
      </c>
      <c r="B104" s="2">
        <v>45208</v>
      </c>
      <c r="C104" t="s">
        <v>203</v>
      </c>
      <c r="D104" t="s">
        <v>204</v>
      </c>
      <c r="E104" t="s">
        <v>208</v>
      </c>
      <c r="F104" t="s">
        <v>209</v>
      </c>
      <c r="G104">
        <v>0</v>
      </c>
      <c r="H104">
        <v>38000</v>
      </c>
      <c r="I104">
        <v>-106500</v>
      </c>
    </row>
    <row r="105" spans="1:9" ht="15.75" hidden="1" x14ac:dyDescent="0.25">
      <c r="A105" t="s">
        <v>210</v>
      </c>
      <c r="B105" s="2">
        <v>45208</v>
      </c>
      <c r="C105" t="s">
        <v>211</v>
      </c>
      <c r="D105" t="s">
        <v>204</v>
      </c>
      <c r="E105" t="s">
        <v>212</v>
      </c>
      <c r="F105" t="s">
        <v>213</v>
      </c>
      <c r="G105">
        <v>0</v>
      </c>
      <c r="H105">
        <v>20000</v>
      </c>
      <c r="I105">
        <v>-126500</v>
      </c>
    </row>
    <row r="106" spans="1:9" ht="15.75" hidden="1" x14ac:dyDescent="0.25">
      <c r="A106" t="s">
        <v>214</v>
      </c>
      <c r="B106" s="2">
        <v>45208</v>
      </c>
      <c r="C106" t="s">
        <v>215</v>
      </c>
      <c r="D106" t="s">
        <v>204</v>
      </c>
      <c r="E106" t="s">
        <v>216</v>
      </c>
      <c r="F106" t="s">
        <v>217</v>
      </c>
      <c r="G106">
        <v>0</v>
      </c>
      <c r="H106">
        <v>27000</v>
      </c>
      <c r="I106">
        <v>-153500</v>
      </c>
    </row>
    <row r="107" spans="1:9" s="85" customFormat="1" ht="15.75" hidden="1" x14ac:dyDescent="0.25">
      <c r="A107" s="85" t="s">
        <v>218</v>
      </c>
      <c r="B107" s="105">
        <v>45208</v>
      </c>
      <c r="C107" s="85" t="s">
        <v>219</v>
      </c>
      <c r="D107" s="85" t="s">
        <v>204</v>
      </c>
      <c r="E107" s="85" t="s">
        <v>220</v>
      </c>
      <c r="F107" s="85" t="s">
        <v>221</v>
      </c>
      <c r="G107" s="85">
        <v>0</v>
      </c>
      <c r="H107" s="85">
        <v>250000</v>
      </c>
      <c r="I107" s="85">
        <v>-403500</v>
      </c>
    </row>
    <row r="108" spans="1:9" s="85" customFormat="1" ht="15.75" hidden="1" x14ac:dyDescent="0.25">
      <c r="A108" s="85" t="s">
        <v>222</v>
      </c>
      <c r="B108" s="105">
        <v>45208</v>
      </c>
      <c r="C108" s="85" t="s">
        <v>219</v>
      </c>
      <c r="D108" s="85" t="s">
        <v>204</v>
      </c>
      <c r="E108" s="85" t="s">
        <v>223</v>
      </c>
      <c r="F108" s="85" t="s">
        <v>224</v>
      </c>
      <c r="G108" s="85">
        <v>0</v>
      </c>
      <c r="H108" s="85">
        <v>500000</v>
      </c>
      <c r="I108" s="85">
        <v>-903500</v>
      </c>
    </row>
    <row r="109" spans="1:9" s="85" customFormat="1" ht="15.75" x14ac:dyDescent="0.25">
      <c r="A109" s="85" t="s">
        <v>225</v>
      </c>
      <c r="B109" s="105">
        <v>45208</v>
      </c>
      <c r="C109" s="85" t="s">
        <v>215</v>
      </c>
      <c r="D109" s="85" t="s">
        <v>204</v>
      </c>
      <c r="E109" s="85" t="s">
        <v>226</v>
      </c>
      <c r="F109" s="85" t="s">
        <v>227</v>
      </c>
      <c r="G109" s="85">
        <v>0</v>
      </c>
      <c r="H109" s="85">
        <v>100000</v>
      </c>
      <c r="I109" s="85">
        <v>-1003500</v>
      </c>
    </row>
    <row r="110" spans="1:9" s="85" customFormat="1" ht="15.75" hidden="1" x14ac:dyDescent="0.25">
      <c r="A110" s="85" t="s">
        <v>228</v>
      </c>
      <c r="B110" s="105">
        <v>45208</v>
      </c>
      <c r="C110" s="85" t="s">
        <v>229</v>
      </c>
      <c r="D110" s="85" t="s">
        <v>204</v>
      </c>
      <c r="E110" s="85" t="s">
        <v>230</v>
      </c>
      <c r="F110" s="85" t="s">
        <v>231</v>
      </c>
      <c r="G110" s="85">
        <v>0</v>
      </c>
      <c r="H110" s="85">
        <v>500000</v>
      </c>
      <c r="I110" s="85">
        <v>-1503500</v>
      </c>
    </row>
    <row r="111" spans="1:9" s="85" customFormat="1" ht="15.75" hidden="1" x14ac:dyDescent="0.25">
      <c r="A111" s="85" t="s">
        <v>232</v>
      </c>
      <c r="B111" s="105">
        <v>45208</v>
      </c>
      <c r="C111" s="85" t="s">
        <v>229</v>
      </c>
      <c r="D111" s="85" t="s">
        <v>204</v>
      </c>
      <c r="E111" s="85" t="s">
        <v>233</v>
      </c>
      <c r="F111" s="85" t="s">
        <v>234</v>
      </c>
      <c r="G111" s="85">
        <v>0</v>
      </c>
      <c r="H111" s="85">
        <v>500000</v>
      </c>
      <c r="I111" s="85">
        <v>-2003500</v>
      </c>
    </row>
    <row r="112" spans="1:9" s="85" customFormat="1" ht="15.75" hidden="1" x14ac:dyDescent="0.25">
      <c r="A112" s="85" t="s">
        <v>235</v>
      </c>
      <c r="B112" s="105">
        <v>45208</v>
      </c>
      <c r="C112" s="85" t="s">
        <v>229</v>
      </c>
      <c r="D112" s="85" t="s">
        <v>204</v>
      </c>
      <c r="E112" s="85" t="s">
        <v>236</v>
      </c>
      <c r="F112" s="85" t="s">
        <v>237</v>
      </c>
      <c r="G112" s="85">
        <v>0</v>
      </c>
      <c r="H112" s="85">
        <v>500000</v>
      </c>
      <c r="I112" s="85">
        <v>-2503500</v>
      </c>
    </row>
    <row r="113" spans="1:9" s="85" customFormat="1" ht="15.75" hidden="1" x14ac:dyDescent="0.25">
      <c r="A113" s="85" t="s">
        <v>238</v>
      </c>
      <c r="B113" s="105">
        <v>45208</v>
      </c>
      <c r="C113" s="85" t="s">
        <v>229</v>
      </c>
      <c r="D113" s="85" t="s">
        <v>204</v>
      </c>
      <c r="E113" s="85" t="s">
        <v>239</v>
      </c>
      <c r="F113" s="85" t="s">
        <v>240</v>
      </c>
      <c r="G113" s="85">
        <v>0</v>
      </c>
      <c r="H113" s="85">
        <v>500000</v>
      </c>
      <c r="I113" s="85">
        <v>-3003500</v>
      </c>
    </row>
    <row r="114" spans="1:9" s="85" customFormat="1" ht="15.75" hidden="1" x14ac:dyDescent="0.25">
      <c r="A114" s="85" t="s">
        <v>241</v>
      </c>
      <c r="B114" s="105">
        <v>45208</v>
      </c>
      <c r="C114" s="85" t="s">
        <v>229</v>
      </c>
      <c r="D114" s="85" t="s">
        <v>204</v>
      </c>
      <c r="E114" s="85" t="s">
        <v>242</v>
      </c>
      <c r="F114" s="85" t="s">
        <v>243</v>
      </c>
      <c r="G114" s="85">
        <v>0</v>
      </c>
      <c r="H114" s="85">
        <v>500000</v>
      </c>
      <c r="I114" s="85">
        <v>-3503500</v>
      </c>
    </row>
    <row r="115" spans="1:9" ht="15.75" hidden="1" x14ac:dyDescent="0.25">
      <c r="A115" t="s">
        <v>264</v>
      </c>
      <c r="B115" s="2">
        <v>45208</v>
      </c>
      <c r="C115" t="s">
        <v>265</v>
      </c>
      <c r="D115" t="s">
        <v>266</v>
      </c>
      <c r="E115" t="s">
        <v>267</v>
      </c>
      <c r="F115" t="s">
        <v>268</v>
      </c>
      <c r="G115">
        <v>0</v>
      </c>
      <c r="H115">
        <v>70000</v>
      </c>
      <c r="I115">
        <v>-3573500</v>
      </c>
    </row>
    <row r="116" spans="1:9" ht="15.75" hidden="1" x14ac:dyDescent="0.25">
      <c r="A116" t="s">
        <v>269</v>
      </c>
      <c r="B116" s="2">
        <v>45208</v>
      </c>
      <c r="C116" t="s">
        <v>270</v>
      </c>
      <c r="D116" t="s">
        <v>266</v>
      </c>
      <c r="E116" t="s">
        <v>271</v>
      </c>
      <c r="F116" t="s">
        <v>272</v>
      </c>
      <c r="G116">
        <v>0</v>
      </c>
      <c r="H116">
        <v>50000</v>
      </c>
      <c r="I116">
        <v>-3623500</v>
      </c>
    </row>
    <row r="117" spans="1:9" ht="15.75" hidden="1" x14ac:dyDescent="0.25">
      <c r="A117" t="s">
        <v>244</v>
      </c>
      <c r="B117" s="2">
        <v>45208</v>
      </c>
      <c r="C117" t="s">
        <v>245</v>
      </c>
      <c r="D117" t="s">
        <v>246</v>
      </c>
      <c r="E117" t="s">
        <v>247</v>
      </c>
      <c r="F117" t="s">
        <v>248</v>
      </c>
      <c r="G117">
        <v>1200000</v>
      </c>
      <c r="H117">
        <v>0</v>
      </c>
      <c r="I117">
        <v>-2423500</v>
      </c>
    </row>
    <row r="118" spans="1:9" ht="15.75" hidden="1" x14ac:dyDescent="0.25">
      <c r="A118" t="s">
        <v>249</v>
      </c>
      <c r="B118" s="2">
        <v>45208</v>
      </c>
      <c r="C118" t="s">
        <v>229</v>
      </c>
      <c r="D118" t="s">
        <v>204</v>
      </c>
      <c r="E118" t="s">
        <v>250</v>
      </c>
      <c r="F118" t="s">
        <v>251</v>
      </c>
      <c r="G118">
        <v>500000</v>
      </c>
      <c r="H118">
        <v>0</v>
      </c>
      <c r="I118">
        <v>-1923500</v>
      </c>
    </row>
    <row r="119" spans="1:9" ht="15.75" hidden="1" x14ac:dyDescent="0.25">
      <c r="A119" t="s">
        <v>252</v>
      </c>
      <c r="B119" s="2">
        <v>45208</v>
      </c>
      <c r="C119" t="s">
        <v>229</v>
      </c>
      <c r="D119" t="s">
        <v>204</v>
      </c>
      <c r="E119" t="s">
        <v>253</v>
      </c>
      <c r="F119" t="s">
        <v>254</v>
      </c>
      <c r="G119">
        <v>500000</v>
      </c>
      <c r="H119">
        <v>0</v>
      </c>
      <c r="I119">
        <v>-1423500</v>
      </c>
    </row>
    <row r="120" spans="1:9" ht="15.75" hidden="1" x14ac:dyDescent="0.25">
      <c r="A120" t="s">
        <v>255</v>
      </c>
      <c r="B120" s="2">
        <v>45208</v>
      </c>
      <c r="C120" t="s">
        <v>229</v>
      </c>
      <c r="D120" t="s">
        <v>204</v>
      </c>
      <c r="E120" t="s">
        <v>256</v>
      </c>
      <c r="F120" t="s">
        <v>257</v>
      </c>
      <c r="G120">
        <v>500000</v>
      </c>
      <c r="H120">
        <v>0</v>
      </c>
      <c r="I120">
        <v>-923500</v>
      </c>
    </row>
    <row r="121" spans="1:9" ht="15.75" hidden="1" x14ac:dyDescent="0.25">
      <c r="A121" t="s">
        <v>258</v>
      </c>
      <c r="B121" s="2">
        <v>45208</v>
      </c>
      <c r="C121" t="s">
        <v>229</v>
      </c>
      <c r="D121" t="s">
        <v>204</v>
      </c>
      <c r="E121" t="s">
        <v>259</v>
      </c>
      <c r="F121" t="s">
        <v>260</v>
      </c>
      <c r="G121">
        <v>500000</v>
      </c>
      <c r="H121">
        <v>0</v>
      </c>
      <c r="I121">
        <v>-423500</v>
      </c>
    </row>
    <row r="122" spans="1:9" ht="15.75" hidden="1" x14ac:dyDescent="0.25">
      <c r="A122" t="s">
        <v>261</v>
      </c>
      <c r="B122" s="2">
        <v>45208</v>
      </c>
      <c r="C122" t="s">
        <v>229</v>
      </c>
      <c r="D122" t="s">
        <v>204</v>
      </c>
      <c r="E122" t="s">
        <v>262</v>
      </c>
      <c r="F122" t="s">
        <v>263</v>
      </c>
      <c r="G122">
        <v>500000</v>
      </c>
      <c r="H122">
        <v>0</v>
      </c>
      <c r="I122">
        <v>76500</v>
      </c>
    </row>
    <row r="123" spans="1:9" s="85" customFormat="1" ht="15.75" hidden="1" x14ac:dyDescent="0.25">
      <c r="A123" s="85" t="s">
        <v>273</v>
      </c>
      <c r="B123" s="105">
        <v>45209</v>
      </c>
      <c r="C123" s="85" t="s">
        <v>190</v>
      </c>
      <c r="D123" s="85" t="s">
        <v>191</v>
      </c>
      <c r="E123" s="85" t="s">
        <v>274</v>
      </c>
      <c r="F123" s="85" t="s">
        <v>275</v>
      </c>
      <c r="G123" s="85">
        <v>0</v>
      </c>
      <c r="H123" s="85">
        <v>500000</v>
      </c>
      <c r="I123" s="85">
        <v>-423500</v>
      </c>
    </row>
    <row r="124" spans="1:9" ht="15.75" hidden="1" x14ac:dyDescent="0.25">
      <c r="A124" t="s">
        <v>276</v>
      </c>
      <c r="B124" s="2">
        <v>45209</v>
      </c>
      <c r="C124" t="s">
        <v>245</v>
      </c>
      <c r="D124" t="s">
        <v>246</v>
      </c>
      <c r="E124" t="s">
        <v>277</v>
      </c>
      <c r="F124" t="s">
        <v>277</v>
      </c>
      <c r="G124">
        <v>500000</v>
      </c>
      <c r="H124">
        <v>0</v>
      </c>
      <c r="I124">
        <v>76500</v>
      </c>
    </row>
    <row r="125" spans="1:9" s="85" customFormat="1" ht="15.75" hidden="1" x14ac:dyDescent="0.25">
      <c r="A125" s="85" t="s">
        <v>278</v>
      </c>
      <c r="B125" s="105">
        <v>45210</v>
      </c>
      <c r="C125" s="85" t="s">
        <v>265</v>
      </c>
      <c r="D125" s="85" t="s">
        <v>266</v>
      </c>
      <c r="E125" s="85" t="s">
        <v>279</v>
      </c>
      <c r="F125" s="85" t="s">
        <v>280</v>
      </c>
      <c r="G125" s="85">
        <v>0</v>
      </c>
      <c r="H125" s="85">
        <v>210000</v>
      </c>
      <c r="I125" s="85">
        <v>-133500</v>
      </c>
    </row>
    <row r="126" spans="1:9" s="85" customFormat="1" ht="15.75" hidden="1" x14ac:dyDescent="0.25">
      <c r="A126" s="85" t="s">
        <v>281</v>
      </c>
      <c r="B126" s="105">
        <v>45210</v>
      </c>
      <c r="C126" s="85" t="s">
        <v>211</v>
      </c>
      <c r="D126" s="85" t="s">
        <v>266</v>
      </c>
      <c r="E126" s="85" t="s">
        <v>282</v>
      </c>
      <c r="F126" s="85" t="s">
        <v>283</v>
      </c>
      <c r="G126" s="85">
        <v>0</v>
      </c>
      <c r="H126" s="85">
        <v>300000</v>
      </c>
      <c r="I126" s="85">
        <v>-433500</v>
      </c>
    </row>
    <row r="127" spans="1:9" s="85" customFormat="1" ht="15.75" hidden="1" x14ac:dyDescent="0.25">
      <c r="A127" s="85" t="s">
        <v>284</v>
      </c>
      <c r="B127" s="105">
        <v>45210</v>
      </c>
      <c r="C127" s="85" t="s">
        <v>285</v>
      </c>
      <c r="D127" s="85" t="s">
        <v>266</v>
      </c>
      <c r="E127" s="85" t="s">
        <v>286</v>
      </c>
      <c r="F127" s="85" t="s">
        <v>287</v>
      </c>
      <c r="G127" s="85">
        <v>0</v>
      </c>
      <c r="H127" s="85">
        <v>300000</v>
      </c>
      <c r="I127" s="85">
        <v>-733500</v>
      </c>
    </row>
    <row r="128" spans="1:9" ht="15.75" hidden="1" x14ac:dyDescent="0.25">
      <c r="A128" t="s">
        <v>288</v>
      </c>
      <c r="B128" s="2">
        <v>45210</v>
      </c>
      <c r="C128" t="s">
        <v>270</v>
      </c>
      <c r="D128" t="s">
        <v>266</v>
      </c>
      <c r="E128" t="s">
        <v>289</v>
      </c>
      <c r="F128" t="s">
        <v>290</v>
      </c>
      <c r="G128">
        <v>0</v>
      </c>
      <c r="H128">
        <v>75000</v>
      </c>
      <c r="I128">
        <v>-808500</v>
      </c>
    </row>
    <row r="129" spans="1:9" ht="15.75" hidden="1" x14ac:dyDescent="0.25">
      <c r="A129" t="s">
        <v>291</v>
      </c>
      <c r="B129" s="2">
        <v>45210</v>
      </c>
      <c r="C129" t="s">
        <v>270</v>
      </c>
      <c r="D129" t="s">
        <v>266</v>
      </c>
      <c r="E129" t="s">
        <v>292</v>
      </c>
      <c r="F129" t="s">
        <v>293</v>
      </c>
      <c r="G129">
        <v>0</v>
      </c>
      <c r="H129">
        <v>70000</v>
      </c>
      <c r="I129">
        <v>-878500</v>
      </c>
    </row>
    <row r="130" spans="1:9" ht="15.75" hidden="1" x14ac:dyDescent="0.25">
      <c r="A130" t="s">
        <v>294</v>
      </c>
      <c r="B130" s="2">
        <v>45210</v>
      </c>
      <c r="C130" t="s">
        <v>211</v>
      </c>
      <c r="D130" t="s">
        <v>266</v>
      </c>
      <c r="E130" t="s">
        <v>295</v>
      </c>
      <c r="F130" t="s">
        <v>295</v>
      </c>
      <c r="G130">
        <v>0</v>
      </c>
      <c r="H130">
        <v>21400</v>
      </c>
      <c r="I130">
        <v>-899900</v>
      </c>
    </row>
    <row r="131" spans="1:9" ht="15.75" hidden="1" x14ac:dyDescent="0.25">
      <c r="A131" t="s">
        <v>296</v>
      </c>
      <c r="B131" s="2">
        <v>45210</v>
      </c>
      <c r="C131" t="s">
        <v>190</v>
      </c>
      <c r="D131" t="s">
        <v>191</v>
      </c>
      <c r="E131" t="s">
        <v>297</v>
      </c>
      <c r="F131" t="s">
        <v>298</v>
      </c>
      <c r="G131">
        <v>0</v>
      </c>
      <c r="H131">
        <v>25000</v>
      </c>
      <c r="I131">
        <v>-924900</v>
      </c>
    </row>
    <row r="132" spans="1:9" ht="15.75" hidden="1" x14ac:dyDescent="0.25">
      <c r="A132" t="s">
        <v>299</v>
      </c>
      <c r="B132" s="2">
        <v>45210</v>
      </c>
      <c r="C132" t="s">
        <v>190</v>
      </c>
      <c r="D132" t="s">
        <v>191</v>
      </c>
      <c r="E132" t="s">
        <v>300</v>
      </c>
      <c r="F132" t="s">
        <v>301</v>
      </c>
      <c r="G132">
        <v>0</v>
      </c>
      <c r="H132">
        <v>28350</v>
      </c>
      <c r="I132">
        <v>-953250</v>
      </c>
    </row>
    <row r="133" spans="1:9" ht="15.75" hidden="1" x14ac:dyDescent="0.25">
      <c r="A133" t="s">
        <v>302</v>
      </c>
      <c r="B133" s="2">
        <v>45210</v>
      </c>
      <c r="C133" t="s">
        <v>190</v>
      </c>
      <c r="D133" t="s">
        <v>191</v>
      </c>
      <c r="E133" t="s">
        <v>303</v>
      </c>
      <c r="F133" t="s">
        <v>304</v>
      </c>
      <c r="G133">
        <v>0</v>
      </c>
      <c r="H133">
        <v>40000</v>
      </c>
      <c r="I133">
        <v>-993250</v>
      </c>
    </row>
    <row r="134" spans="1:9" s="85" customFormat="1" ht="15.75" hidden="1" x14ac:dyDescent="0.25">
      <c r="A134" s="85" t="s">
        <v>305</v>
      </c>
      <c r="B134" s="105">
        <v>45210</v>
      </c>
      <c r="C134" s="85" t="s">
        <v>190</v>
      </c>
      <c r="D134" s="85" t="s">
        <v>191</v>
      </c>
      <c r="E134" s="85" t="s">
        <v>306</v>
      </c>
      <c r="F134" s="85" t="s">
        <v>307</v>
      </c>
      <c r="G134" s="85">
        <v>0</v>
      </c>
      <c r="H134" s="85">
        <v>300000</v>
      </c>
      <c r="I134" s="85">
        <v>-1293250</v>
      </c>
    </row>
    <row r="135" spans="1:9" s="85" customFormat="1" ht="15.75" hidden="1" x14ac:dyDescent="0.25">
      <c r="A135" s="85" t="s">
        <v>308</v>
      </c>
      <c r="B135" s="105">
        <v>45210</v>
      </c>
      <c r="C135" s="85" t="s">
        <v>190</v>
      </c>
      <c r="D135" s="85" t="s">
        <v>191</v>
      </c>
      <c r="E135" s="85" t="s">
        <v>309</v>
      </c>
      <c r="F135" s="85" t="s">
        <v>310</v>
      </c>
      <c r="G135" s="85">
        <v>0</v>
      </c>
      <c r="H135" s="85">
        <v>300000</v>
      </c>
      <c r="I135" s="85">
        <v>-1593250</v>
      </c>
    </row>
    <row r="136" spans="1:9" s="85" customFormat="1" ht="15.75" hidden="1" x14ac:dyDescent="0.25">
      <c r="A136" s="85" t="s">
        <v>311</v>
      </c>
      <c r="B136" s="105">
        <v>45210</v>
      </c>
      <c r="C136" s="85" t="s">
        <v>190</v>
      </c>
      <c r="D136" s="85" t="s">
        <v>191</v>
      </c>
      <c r="E136" s="85" t="s">
        <v>312</v>
      </c>
      <c r="F136" s="85" t="s">
        <v>313</v>
      </c>
      <c r="G136" s="85">
        <v>0</v>
      </c>
      <c r="H136" s="85">
        <v>500000</v>
      </c>
      <c r="I136" s="85">
        <v>-2093250</v>
      </c>
    </row>
    <row r="137" spans="1:9" s="85" customFormat="1" ht="15.75" hidden="1" x14ac:dyDescent="0.25">
      <c r="A137" s="85" t="s">
        <v>314</v>
      </c>
      <c r="B137" s="105">
        <v>45210</v>
      </c>
      <c r="C137" s="85" t="s">
        <v>190</v>
      </c>
      <c r="D137" s="85" t="s">
        <v>191</v>
      </c>
      <c r="E137" s="85" t="s">
        <v>315</v>
      </c>
      <c r="F137" s="85" t="s">
        <v>316</v>
      </c>
      <c r="G137" s="85">
        <v>0</v>
      </c>
      <c r="H137" s="85">
        <v>450000</v>
      </c>
      <c r="I137" s="85">
        <v>-2543250</v>
      </c>
    </row>
    <row r="138" spans="1:9" s="85" customFormat="1" ht="15.75" hidden="1" x14ac:dyDescent="0.25">
      <c r="A138" s="85" t="s">
        <v>317</v>
      </c>
      <c r="B138" s="105">
        <v>45210</v>
      </c>
      <c r="C138" s="85" t="s">
        <v>219</v>
      </c>
      <c r="D138" s="85" t="s">
        <v>191</v>
      </c>
      <c r="E138" s="85" t="s">
        <v>318</v>
      </c>
      <c r="F138" s="85" t="s">
        <v>319</v>
      </c>
      <c r="G138" s="85">
        <v>0</v>
      </c>
      <c r="H138" s="85">
        <v>500000</v>
      </c>
      <c r="I138" s="85">
        <v>-3043250</v>
      </c>
    </row>
    <row r="139" spans="1:9" s="85" customFormat="1" ht="15.75" hidden="1" x14ac:dyDescent="0.25">
      <c r="A139" s="85" t="s">
        <v>320</v>
      </c>
      <c r="B139" s="105">
        <v>45210</v>
      </c>
      <c r="C139" s="85" t="s">
        <v>190</v>
      </c>
      <c r="D139" s="85" t="s">
        <v>191</v>
      </c>
      <c r="E139" s="85" t="s">
        <v>321</v>
      </c>
      <c r="F139" s="85" t="s">
        <v>322</v>
      </c>
      <c r="G139" s="85">
        <v>0</v>
      </c>
      <c r="H139" s="85">
        <v>300000</v>
      </c>
      <c r="I139" s="85">
        <v>-3343250</v>
      </c>
    </row>
    <row r="140" spans="1:9" s="85" customFormat="1" ht="15.75" hidden="1" x14ac:dyDescent="0.25">
      <c r="A140" s="85" t="s">
        <v>323</v>
      </c>
      <c r="B140" s="105">
        <v>45210</v>
      </c>
      <c r="C140" s="85" t="s">
        <v>190</v>
      </c>
      <c r="D140" s="85" t="s">
        <v>191</v>
      </c>
      <c r="E140" s="85" t="s">
        <v>324</v>
      </c>
      <c r="F140" s="85" t="s">
        <v>325</v>
      </c>
      <c r="G140" s="85">
        <v>0</v>
      </c>
      <c r="H140" s="85">
        <v>300000</v>
      </c>
      <c r="I140" s="85">
        <v>-3643250</v>
      </c>
    </row>
    <row r="141" spans="1:9" s="85" customFormat="1" ht="15.75" x14ac:dyDescent="0.25">
      <c r="A141" s="85" t="s">
        <v>326</v>
      </c>
      <c r="B141" s="105">
        <v>45210</v>
      </c>
      <c r="C141" s="85" t="s">
        <v>190</v>
      </c>
      <c r="D141" s="85" t="s">
        <v>191</v>
      </c>
      <c r="E141" s="85" t="s">
        <v>327</v>
      </c>
      <c r="F141" s="85" t="s">
        <v>328</v>
      </c>
      <c r="G141" s="85">
        <v>0</v>
      </c>
      <c r="H141" s="85">
        <v>100000</v>
      </c>
      <c r="I141" s="85">
        <v>-3743250</v>
      </c>
    </row>
    <row r="142" spans="1:9" s="85" customFormat="1" ht="15.75" hidden="1" x14ac:dyDescent="0.25">
      <c r="A142" s="85" t="s">
        <v>329</v>
      </c>
      <c r="B142" s="105">
        <v>45210</v>
      </c>
      <c r="C142" s="85" t="s">
        <v>190</v>
      </c>
      <c r="D142" s="85" t="s">
        <v>191</v>
      </c>
      <c r="E142" s="85" t="s">
        <v>330</v>
      </c>
      <c r="F142" s="85" t="s">
        <v>331</v>
      </c>
      <c r="G142" s="85">
        <v>0</v>
      </c>
      <c r="H142" s="85">
        <v>350000</v>
      </c>
      <c r="I142" s="85">
        <v>-4093250</v>
      </c>
    </row>
    <row r="143" spans="1:9" s="85" customFormat="1" ht="15.75" hidden="1" x14ac:dyDescent="0.25">
      <c r="A143" s="85" t="s">
        <v>332</v>
      </c>
      <c r="B143" s="105">
        <v>45210</v>
      </c>
      <c r="C143" s="85" t="s">
        <v>190</v>
      </c>
      <c r="D143" s="85" t="s">
        <v>191</v>
      </c>
      <c r="E143" s="85" t="s">
        <v>333</v>
      </c>
      <c r="F143" s="85" t="s">
        <v>334</v>
      </c>
      <c r="G143" s="85">
        <v>0</v>
      </c>
      <c r="H143" s="85">
        <v>400000</v>
      </c>
      <c r="I143" s="85">
        <v>-4493250</v>
      </c>
    </row>
    <row r="144" spans="1:9" s="85" customFormat="1" ht="15.75" hidden="1" x14ac:dyDescent="0.25">
      <c r="A144" s="85" t="s">
        <v>335</v>
      </c>
      <c r="B144" s="105">
        <v>45210</v>
      </c>
      <c r="C144" s="85" t="s">
        <v>190</v>
      </c>
      <c r="D144" s="85" t="s">
        <v>191</v>
      </c>
      <c r="E144" s="85" t="s">
        <v>336</v>
      </c>
      <c r="F144" s="85" t="s">
        <v>337</v>
      </c>
      <c r="G144" s="85">
        <v>0</v>
      </c>
      <c r="H144" s="85">
        <v>450000</v>
      </c>
      <c r="I144" s="85">
        <v>-4943250</v>
      </c>
    </row>
    <row r="145" spans="1:9" ht="15.75" hidden="1" x14ac:dyDescent="0.25">
      <c r="A145" t="s">
        <v>338</v>
      </c>
      <c r="B145" s="2">
        <v>45210</v>
      </c>
      <c r="C145" t="s">
        <v>245</v>
      </c>
      <c r="D145" t="s">
        <v>246</v>
      </c>
      <c r="E145" t="s">
        <v>339</v>
      </c>
      <c r="F145" t="s">
        <v>339</v>
      </c>
      <c r="G145">
        <v>4800000</v>
      </c>
      <c r="H145">
        <v>0</v>
      </c>
      <c r="I145">
        <v>-143250</v>
      </c>
    </row>
    <row r="146" spans="1:9" ht="15.75" hidden="1" x14ac:dyDescent="0.25">
      <c r="A146" t="s">
        <v>340</v>
      </c>
      <c r="B146" s="2">
        <v>45210</v>
      </c>
      <c r="C146" t="s">
        <v>211</v>
      </c>
      <c r="D146" t="s">
        <v>266</v>
      </c>
      <c r="E146" t="s">
        <v>341</v>
      </c>
      <c r="F146" t="s">
        <v>342</v>
      </c>
      <c r="G146">
        <v>50700</v>
      </c>
      <c r="H146">
        <v>0</v>
      </c>
      <c r="I146">
        <v>-92550</v>
      </c>
    </row>
    <row r="147" spans="1:9" ht="15.75" hidden="1" x14ac:dyDescent="0.25">
      <c r="A147" t="s">
        <v>343</v>
      </c>
      <c r="B147" s="2">
        <v>45210</v>
      </c>
      <c r="C147" t="s">
        <v>285</v>
      </c>
      <c r="D147" t="s">
        <v>266</v>
      </c>
      <c r="E147" t="s">
        <v>344</v>
      </c>
      <c r="F147" t="s">
        <v>345</v>
      </c>
      <c r="G147">
        <v>102500</v>
      </c>
      <c r="H147">
        <v>0</v>
      </c>
      <c r="I147">
        <v>9950</v>
      </c>
    </row>
    <row r="148" spans="1:9" ht="15.75" hidden="1" x14ac:dyDescent="0.25">
      <c r="A148" t="s">
        <v>346</v>
      </c>
      <c r="B148" s="2">
        <v>45210</v>
      </c>
      <c r="C148" t="s">
        <v>270</v>
      </c>
      <c r="D148" t="s">
        <v>266</v>
      </c>
      <c r="E148" t="s">
        <v>347</v>
      </c>
      <c r="F148" t="s">
        <v>348</v>
      </c>
      <c r="G148">
        <v>14500</v>
      </c>
      <c r="H148">
        <v>0</v>
      </c>
      <c r="I148">
        <v>24450</v>
      </c>
    </row>
    <row r="149" spans="1:9" ht="15.75" hidden="1" x14ac:dyDescent="0.25">
      <c r="A149" t="s">
        <v>349</v>
      </c>
      <c r="B149" s="2">
        <v>45210</v>
      </c>
      <c r="C149" t="s">
        <v>190</v>
      </c>
      <c r="D149" t="s">
        <v>191</v>
      </c>
      <c r="E149" t="s">
        <v>350</v>
      </c>
      <c r="F149" t="s">
        <v>351</v>
      </c>
      <c r="G149">
        <v>105000</v>
      </c>
      <c r="H149">
        <v>0</v>
      </c>
      <c r="I149">
        <v>129450</v>
      </c>
    </row>
    <row r="150" spans="1:9" ht="15.75" hidden="1" x14ac:dyDescent="0.25">
      <c r="A150" t="s">
        <v>352</v>
      </c>
      <c r="B150" s="2">
        <v>45210</v>
      </c>
      <c r="C150" t="s">
        <v>353</v>
      </c>
      <c r="D150" t="s">
        <v>191</v>
      </c>
      <c r="E150" t="s">
        <v>354</v>
      </c>
      <c r="F150" t="s">
        <v>355</v>
      </c>
      <c r="G150">
        <v>100000</v>
      </c>
      <c r="H150">
        <v>0</v>
      </c>
      <c r="I150">
        <v>229450</v>
      </c>
    </row>
    <row r="151" spans="1:9" ht="15.75" hidden="1" x14ac:dyDescent="0.25">
      <c r="A151" t="s">
        <v>356</v>
      </c>
      <c r="B151" s="2">
        <v>45210</v>
      </c>
      <c r="C151" t="s">
        <v>190</v>
      </c>
      <c r="D151" t="s">
        <v>191</v>
      </c>
      <c r="E151" t="s">
        <v>357</v>
      </c>
      <c r="F151" t="s">
        <v>358</v>
      </c>
      <c r="G151">
        <v>88850</v>
      </c>
      <c r="H151">
        <v>0</v>
      </c>
      <c r="I151">
        <v>318300</v>
      </c>
    </row>
    <row r="152" spans="1:9" ht="15.75" hidden="1" x14ac:dyDescent="0.25">
      <c r="A152" t="s">
        <v>359</v>
      </c>
      <c r="B152" s="2">
        <v>45210</v>
      </c>
      <c r="C152" t="s">
        <v>190</v>
      </c>
      <c r="D152" t="s">
        <v>191</v>
      </c>
      <c r="E152" t="s">
        <v>360</v>
      </c>
      <c r="F152" t="s">
        <v>361</v>
      </c>
      <c r="G152">
        <v>14000</v>
      </c>
      <c r="H152">
        <v>0</v>
      </c>
      <c r="I152">
        <v>332300</v>
      </c>
    </row>
    <row r="153" spans="1:9" ht="15.75" hidden="1" x14ac:dyDescent="0.25">
      <c r="A153" t="s">
        <v>362</v>
      </c>
      <c r="B153" s="2">
        <v>45210</v>
      </c>
      <c r="C153" t="s">
        <v>190</v>
      </c>
      <c r="D153" t="s">
        <v>191</v>
      </c>
      <c r="E153" t="s">
        <v>363</v>
      </c>
      <c r="F153" t="s">
        <v>364</v>
      </c>
      <c r="G153">
        <v>60000</v>
      </c>
      <c r="H153">
        <v>0</v>
      </c>
      <c r="I153">
        <v>392300</v>
      </c>
    </row>
    <row r="154" spans="1:9" ht="15.75" hidden="1" x14ac:dyDescent="0.25">
      <c r="A154" t="s">
        <v>365</v>
      </c>
      <c r="B154" s="2">
        <v>45210</v>
      </c>
      <c r="C154" t="s">
        <v>190</v>
      </c>
      <c r="D154" t="s">
        <v>191</v>
      </c>
      <c r="E154" t="s">
        <v>366</v>
      </c>
      <c r="F154" t="s">
        <v>367</v>
      </c>
      <c r="G154">
        <v>5450</v>
      </c>
      <c r="H154">
        <v>0</v>
      </c>
      <c r="I154">
        <v>397750</v>
      </c>
    </row>
    <row r="155" spans="1:9" ht="15.75" hidden="1" x14ac:dyDescent="0.25">
      <c r="A155" t="s">
        <v>368</v>
      </c>
      <c r="B155" s="2">
        <v>45210</v>
      </c>
      <c r="C155" t="s">
        <v>369</v>
      </c>
      <c r="D155" t="s">
        <v>370</v>
      </c>
      <c r="E155" t="s">
        <v>371</v>
      </c>
      <c r="F155" t="s">
        <v>372</v>
      </c>
      <c r="G155">
        <v>10000</v>
      </c>
      <c r="H155">
        <v>0</v>
      </c>
      <c r="I155">
        <v>407750</v>
      </c>
    </row>
    <row r="156" spans="1:9" ht="15.75" hidden="1" x14ac:dyDescent="0.25">
      <c r="A156" t="s">
        <v>373</v>
      </c>
      <c r="B156" s="2">
        <v>45212</v>
      </c>
      <c r="C156" t="s">
        <v>245</v>
      </c>
      <c r="D156" t="s">
        <v>246</v>
      </c>
      <c r="E156" t="s">
        <v>374</v>
      </c>
      <c r="F156" t="s">
        <v>375</v>
      </c>
      <c r="G156">
        <v>0</v>
      </c>
      <c r="H156">
        <v>30000</v>
      </c>
      <c r="I156">
        <v>377750</v>
      </c>
    </row>
    <row r="157" spans="1:9" ht="15.75" hidden="1" x14ac:dyDescent="0.25">
      <c r="A157" t="s">
        <v>376</v>
      </c>
      <c r="B157" s="2">
        <v>45212</v>
      </c>
      <c r="C157" t="s">
        <v>369</v>
      </c>
      <c r="D157" t="s">
        <v>377</v>
      </c>
      <c r="E157" t="s">
        <v>378</v>
      </c>
      <c r="F157" t="s">
        <v>379</v>
      </c>
      <c r="G157">
        <v>5000</v>
      </c>
      <c r="H157">
        <v>0</v>
      </c>
      <c r="I157">
        <v>382750</v>
      </c>
    </row>
    <row r="158" spans="1:9" ht="15.75" hidden="1" x14ac:dyDescent="0.25">
      <c r="A158" t="s">
        <v>380</v>
      </c>
      <c r="B158" s="2">
        <v>45212</v>
      </c>
      <c r="C158" t="s">
        <v>369</v>
      </c>
      <c r="D158" t="s">
        <v>381</v>
      </c>
      <c r="E158" t="s">
        <v>382</v>
      </c>
      <c r="F158" t="s">
        <v>383</v>
      </c>
      <c r="G158">
        <v>15000</v>
      </c>
      <c r="H158">
        <v>0</v>
      </c>
      <c r="I158">
        <v>397750</v>
      </c>
    </row>
    <row r="159" spans="1:9" ht="15.75" hidden="1" x14ac:dyDescent="0.25">
      <c r="A159" t="s">
        <v>384</v>
      </c>
      <c r="B159" s="2">
        <v>45215</v>
      </c>
      <c r="C159" t="s">
        <v>265</v>
      </c>
      <c r="D159" t="s">
        <v>385</v>
      </c>
      <c r="E159" t="s">
        <v>386</v>
      </c>
      <c r="F159" t="s">
        <v>387</v>
      </c>
      <c r="G159">
        <v>0</v>
      </c>
      <c r="H159">
        <v>15000</v>
      </c>
      <c r="I159">
        <v>382750</v>
      </c>
    </row>
    <row r="160" spans="1:9" s="85" customFormat="1" ht="15.75" hidden="1" x14ac:dyDescent="0.25">
      <c r="A160" s="85" t="s">
        <v>388</v>
      </c>
      <c r="B160" s="105">
        <v>45215</v>
      </c>
      <c r="C160" s="85" t="s">
        <v>265</v>
      </c>
      <c r="D160" s="85" t="s">
        <v>385</v>
      </c>
      <c r="E160" s="85" t="s">
        <v>389</v>
      </c>
      <c r="F160" s="85" t="s">
        <v>390</v>
      </c>
      <c r="G160" s="85">
        <v>0</v>
      </c>
      <c r="H160" s="85">
        <v>80000</v>
      </c>
      <c r="I160" s="85">
        <v>302750</v>
      </c>
    </row>
    <row r="161" spans="1:9" ht="15.75" hidden="1" x14ac:dyDescent="0.25">
      <c r="A161" t="s">
        <v>391</v>
      </c>
      <c r="B161" s="2">
        <v>45215</v>
      </c>
      <c r="C161" t="s">
        <v>215</v>
      </c>
      <c r="D161" t="s">
        <v>204</v>
      </c>
      <c r="E161" t="s">
        <v>392</v>
      </c>
      <c r="F161" t="s">
        <v>393</v>
      </c>
      <c r="G161">
        <v>0</v>
      </c>
      <c r="H161">
        <v>66500</v>
      </c>
      <c r="I161">
        <v>236250</v>
      </c>
    </row>
    <row r="162" spans="1:9" ht="15.75" hidden="1" x14ac:dyDescent="0.25">
      <c r="A162" t="s">
        <v>394</v>
      </c>
      <c r="B162" s="2">
        <v>45215</v>
      </c>
      <c r="C162" t="s">
        <v>211</v>
      </c>
      <c r="D162" t="s">
        <v>204</v>
      </c>
      <c r="E162" t="s">
        <v>395</v>
      </c>
      <c r="F162" t="s">
        <v>396</v>
      </c>
      <c r="G162">
        <v>0</v>
      </c>
      <c r="H162">
        <v>15800</v>
      </c>
      <c r="I162">
        <v>220450</v>
      </c>
    </row>
    <row r="163" spans="1:9" s="85" customFormat="1" ht="15.75" hidden="1" x14ac:dyDescent="0.25">
      <c r="A163" s="85" t="s">
        <v>397</v>
      </c>
      <c r="B163" s="105">
        <v>45215</v>
      </c>
      <c r="C163" s="85" t="s">
        <v>215</v>
      </c>
      <c r="D163" s="85" t="s">
        <v>204</v>
      </c>
      <c r="E163" s="85" t="s">
        <v>398</v>
      </c>
      <c r="F163" s="85" t="s">
        <v>399</v>
      </c>
      <c r="G163" s="85">
        <v>0</v>
      </c>
      <c r="H163" s="85">
        <v>244000</v>
      </c>
      <c r="I163" s="85">
        <v>-23550</v>
      </c>
    </row>
    <row r="164" spans="1:9" ht="15.75" hidden="1" x14ac:dyDescent="0.25">
      <c r="A164" t="s">
        <v>400</v>
      </c>
      <c r="B164" s="2">
        <v>45215</v>
      </c>
      <c r="C164" t="s">
        <v>203</v>
      </c>
      <c r="D164" t="s">
        <v>204</v>
      </c>
      <c r="E164" t="s">
        <v>401</v>
      </c>
      <c r="F164" t="s">
        <v>402</v>
      </c>
      <c r="G164">
        <v>76000</v>
      </c>
      <c r="H164">
        <v>0</v>
      </c>
      <c r="I164">
        <v>52450</v>
      </c>
    </row>
    <row r="165" spans="1:9" ht="15.75" hidden="1" x14ac:dyDescent="0.25">
      <c r="A165" t="s">
        <v>403</v>
      </c>
      <c r="B165" s="2">
        <v>45215</v>
      </c>
      <c r="C165" t="s">
        <v>229</v>
      </c>
      <c r="D165" t="s">
        <v>204</v>
      </c>
      <c r="E165" t="s">
        <v>404</v>
      </c>
      <c r="F165" t="s">
        <v>405</v>
      </c>
      <c r="G165">
        <v>200000</v>
      </c>
      <c r="H165">
        <v>0</v>
      </c>
      <c r="I165">
        <v>252450</v>
      </c>
    </row>
    <row r="166" spans="1:9" ht="15.75" hidden="1" x14ac:dyDescent="0.25">
      <c r="A166" t="s">
        <v>406</v>
      </c>
      <c r="B166" s="2">
        <v>45215</v>
      </c>
      <c r="C166" t="s">
        <v>369</v>
      </c>
      <c r="D166" t="s">
        <v>407</v>
      </c>
      <c r="E166" t="s">
        <v>378</v>
      </c>
      <c r="F166" t="s">
        <v>408</v>
      </c>
      <c r="G166">
        <v>5000</v>
      </c>
      <c r="H166">
        <v>0</v>
      </c>
      <c r="I166">
        <v>257450</v>
      </c>
    </row>
    <row r="167" spans="1:9" ht="15.75" hidden="1" x14ac:dyDescent="0.25">
      <c r="A167" t="s">
        <v>409</v>
      </c>
      <c r="B167" s="2">
        <v>45215</v>
      </c>
      <c r="C167" t="s">
        <v>369</v>
      </c>
      <c r="D167" t="s">
        <v>407</v>
      </c>
      <c r="E167" t="s">
        <v>410</v>
      </c>
      <c r="F167" t="s">
        <v>411</v>
      </c>
      <c r="G167">
        <v>20000</v>
      </c>
      <c r="H167">
        <v>0</v>
      </c>
      <c r="I167">
        <v>277450</v>
      </c>
    </row>
    <row r="168" spans="1:9" s="85" customFormat="1" ht="15.75" hidden="1" x14ac:dyDescent="0.25">
      <c r="A168" s="85" t="s">
        <v>412</v>
      </c>
      <c r="B168" s="105">
        <v>45216</v>
      </c>
      <c r="C168" s="85" t="s">
        <v>190</v>
      </c>
      <c r="D168" s="85" t="s">
        <v>191</v>
      </c>
      <c r="E168" s="85" t="s">
        <v>413</v>
      </c>
      <c r="F168" s="85" t="s">
        <v>413</v>
      </c>
      <c r="G168" s="85">
        <v>0</v>
      </c>
      <c r="H168" s="85">
        <v>1500000</v>
      </c>
      <c r="I168" s="85">
        <v>-1222550</v>
      </c>
    </row>
    <row r="169" spans="1:9" s="85" customFormat="1" ht="15.75" hidden="1" x14ac:dyDescent="0.25">
      <c r="A169" s="85" t="s">
        <v>414</v>
      </c>
      <c r="B169" s="105">
        <v>45216</v>
      </c>
      <c r="C169" s="85" t="s">
        <v>190</v>
      </c>
      <c r="D169" s="85" t="s">
        <v>191</v>
      </c>
      <c r="E169" s="85" t="s">
        <v>415</v>
      </c>
      <c r="F169" s="85" t="s">
        <v>415</v>
      </c>
      <c r="G169" s="85">
        <v>0</v>
      </c>
      <c r="H169" s="85">
        <v>1500000</v>
      </c>
      <c r="I169" s="85">
        <v>-2722550</v>
      </c>
    </row>
    <row r="170" spans="1:9" s="85" customFormat="1" ht="15.75" hidden="1" x14ac:dyDescent="0.25">
      <c r="A170" s="85" t="s">
        <v>416</v>
      </c>
      <c r="B170" s="105">
        <v>45216</v>
      </c>
      <c r="C170" s="85" t="s">
        <v>190</v>
      </c>
      <c r="D170" s="85" t="s">
        <v>191</v>
      </c>
      <c r="E170" s="85" t="s">
        <v>417</v>
      </c>
      <c r="F170" s="85" t="s">
        <v>418</v>
      </c>
      <c r="G170" s="85">
        <v>0</v>
      </c>
      <c r="H170" s="85">
        <v>900000</v>
      </c>
      <c r="I170" s="85">
        <v>-3622550</v>
      </c>
    </row>
    <row r="171" spans="1:9" s="85" customFormat="1" ht="15.75" hidden="1" x14ac:dyDescent="0.25">
      <c r="A171" s="85" t="s">
        <v>419</v>
      </c>
      <c r="B171" s="105">
        <v>45216</v>
      </c>
      <c r="C171" s="85" t="s">
        <v>190</v>
      </c>
      <c r="D171" s="85" t="s">
        <v>191</v>
      </c>
      <c r="E171" s="85" t="s">
        <v>420</v>
      </c>
      <c r="F171" s="85" t="s">
        <v>421</v>
      </c>
      <c r="G171" s="85">
        <v>0</v>
      </c>
      <c r="H171" s="85">
        <v>800000</v>
      </c>
      <c r="I171" s="85">
        <v>-4422550</v>
      </c>
    </row>
    <row r="172" spans="1:9" s="85" customFormat="1" ht="15.75" hidden="1" x14ac:dyDescent="0.25">
      <c r="A172" s="85" t="s">
        <v>422</v>
      </c>
      <c r="B172" s="105">
        <v>45216</v>
      </c>
      <c r="C172" s="85" t="s">
        <v>190</v>
      </c>
      <c r="D172" s="85" t="s">
        <v>191</v>
      </c>
      <c r="E172" s="85" t="s">
        <v>423</v>
      </c>
      <c r="F172" s="85" t="s">
        <v>424</v>
      </c>
      <c r="G172" s="85">
        <v>0</v>
      </c>
      <c r="H172" s="85">
        <v>500000</v>
      </c>
      <c r="I172" s="85">
        <v>-4922550</v>
      </c>
    </row>
    <row r="173" spans="1:9" ht="15.75" hidden="1" x14ac:dyDescent="0.25">
      <c r="A173" t="s">
        <v>425</v>
      </c>
      <c r="B173" s="2">
        <v>45216</v>
      </c>
      <c r="C173" t="s">
        <v>229</v>
      </c>
      <c r="D173" t="s">
        <v>204</v>
      </c>
      <c r="E173" t="s">
        <v>426</v>
      </c>
      <c r="F173" t="s">
        <v>427</v>
      </c>
      <c r="G173">
        <v>0</v>
      </c>
      <c r="H173">
        <v>60000</v>
      </c>
      <c r="I173">
        <v>-4982550</v>
      </c>
    </row>
    <row r="174" spans="1:9" s="85" customFormat="1" ht="15.75" hidden="1" x14ac:dyDescent="0.25">
      <c r="A174" s="85" t="s">
        <v>428</v>
      </c>
      <c r="B174" s="105">
        <v>45216</v>
      </c>
      <c r="C174" s="85" t="s">
        <v>219</v>
      </c>
      <c r="D174" s="85" t="s">
        <v>204</v>
      </c>
      <c r="E174" s="85" t="s">
        <v>429</v>
      </c>
      <c r="F174" s="85" t="s">
        <v>430</v>
      </c>
      <c r="G174" s="85">
        <v>0</v>
      </c>
      <c r="H174" s="85">
        <v>300000</v>
      </c>
      <c r="I174" s="85">
        <v>-5282550</v>
      </c>
    </row>
    <row r="175" spans="1:9" s="85" customFormat="1" ht="15.75" x14ac:dyDescent="0.25">
      <c r="A175" s="85" t="s">
        <v>431</v>
      </c>
      <c r="B175" s="105">
        <v>45216</v>
      </c>
      <c r="C175" s="85" t="s">
        <v>211</v>
      </c>
      <c r="D175" s="85" t="s">
        <v>204</v>
      </c>
      <c r="E175" s="85" t="s">
        <v>432</v>
      </c>
      <c r="F175" s="85" t="s">
        <v>433</v>
      </c>
      <c r="G175" s="85">
        <v>0</v>
      </c>
      <c r="H175" s="85">
        <v>100000</v>
      </c>
      <c r="I175" s="85">
        <v>-5382550</v>
      </c>
    </row>
    <row r="176" spans="1:9" ht="15.75" hidden="1" x14ac:dyDescent="0.25">
      <c r="A176" t="s">
        <v>434</v>
      </c>
      <c r="B176" s="2">
        <v>45216</v>
      </c>
      <c r="C176" t="s">
        <v>270</v>
      </c>
      <c r="D176" t="s">
        <v>266</v>
      </c>
      <c r="E176" t="s">
        <v>435</v>
      </c>
      <c r="F176" t="s">
        <v>436</v>
      </c>
      <c r="G176">
        <v>0</v>
      </c>
      <c r="H176">
        <v>33000</v>
      </c>
      <c r="I176">
        <v>-5415550</v>
      </c>
    </row>
    <row r="177" spans="1:9" s="135" customFormat="1" ht="15.75" hidden="1" x14ac:dyDescent="0.25">
      <c r="A177" s="135" t="s">
        <v>437</v>
      </c>
      <c r="B177" s="113">
        <v>45216</v>
      </c>
      <c r="C177" s="135" t="s">
        <v>438</v>
      </c>
      <c r="D177" s="135" t="s">
        <v>266</v>
      </c>
      <c r="E177" s="135" t="s">
        <v>439</v>
      </c>
      <c r="F177" s="135" t="s">
        <v>440</v>
      </c>
      <c r="G177" s="135">
        <v>0</v>
      </c>
      <c r="H177" s="135">
        <v>722800</v>
      </c>
      <c r="I177" s="135">
        <v>-6138350</v>
      </c>
    </row>
    <row r="178" spans="1:9" ht="15.75" hidden="1" x14ac:dyDescent="0.25">
      <c r="A178" t="s">
        <v>441</v>
      </c>
      <c r="B178" s="2">
        <v>45216</v>
      </c>
      <c r="C178" t="s">
        <v>245</v>
      </c>
      <c r="D178" t="s">
        <v>246</v>
      </c>
      <c r="E178" t="s">
        <v>442</v>
      </c>
      <c r="F178" t="s">
        <v>442</v>
      </c>
      <c r="G178">
        <v>6800000</v>
      </c>
      <c r="H178">
        <v>0</v>
      </c>
      <c r="I178">
        <v>661650</v>
      </c>
    </row>
    <row r="179" spans="1:9" s="85" customFormat="1" ht="15.75" hidden="1" x14ac:dyDescent="0.25">
      <c r="A179" s="85" t="s">
        <v>443</v>
      </c>
      <c r="B179" s="105">
        <v>45217</v>
      </c>
      <c r="C179" s="85" t="s">
        <v>353</v>
      </c>
      <c r="D179" s="85" t="s">
        <v>266</v>
      </c>
      <c r="E179" s="85" t="s">
        <v>444</v>
      </c>
      <c r="F179" s="85" t="s">
        <v>445</v>
      </c>
      <c r="G179" s="85">
        <v>0</v>
      </c>
      <c r="H179" s="85">
        <v>128000</v>
      </c>
      <c r="I179" s="85">
        <v>533650</v>
      </c>
    </row>
    <row r="180" spans="1:9" ht="15.75" hidden="1" x14ac:dyDescent="0.25">
      <c r="A180" t="s">
        <v>446</v>
      </c>
      <c r="B180" s="2">
        <v>45217</v>
      </c>
      <c r="C180" t="s">
        <v>447</v>
      </c>
      <c r="D180" t="s">
        <v>266</v>
      </c>
      <c r="E180" t="s">
        <v>448</v>
      </c>
      <c r="F180" t="s">
        <v>449</v>
      </c>
      <c r="G180">
        <v>0</v>
      </c>
      <c r="H180">
        <v>75000</v>
      </c>
      <c r="I180">
        <v>458650</v>
      </c>
    </row>
    <row r="181" spans="1:9" ht="15.75" hidden="1" x14ac:dyDescent="0.25">
      <c r="A181" t="s">
        <v>450</v>
      </c>
      <c r="B181" s="2">
        <v>45217</v>
      </c>
      <c r="C181" t="s">
        <v>451</v>
      </c>
      <c r="D181" t="s">
        <v>266</v>
      </c>
      <c r="E181" t="s">
        <v>452</v>
      </c>
      <c r="F181" t="s">
        <v>453</v>
      </c>
      <c r="G181">
        <v>60000</v>
      </c>
      <c r="H181">
        <v>0</v>
      </c>
      <c r="I181">
        <v>518650</v>
      </c>
    </row>
    <row r="182" spans="1:9" ht="15.75" hidden="1" x14ac:dyDescent="0.25">
      <c r="A182" t="s">
        <v>454</v>
      </c>
      <c r="B182" s="2">
        <v>45217</v>
      </c>
      <c r="C182" t="s">
        <v>215</v>
      </c>
      <c r="D182" t="s">
        <v>266</v>
      </c>
      <c r="E182" t="s">
        <v>455</v>
      </c>
      <c r="F182" t="s">
        <v>456</v>
      </c>
      <c r="G182">
        <v>25000</v>
      </c>
      <c r="H182">
        <v>0</v>
      </c>
      <c r="I182">
        <v>543650</v>
      </c>
    </row>
    <row r="183" spans="1:9" ht="15.75" hidden="1" x14ac:dyDescent="0.25">
      <c r="A183" t="s">
        <v>457</v>
      </c>
      <c r="B183" s="2">
        <v>45218</v>
      </c>
      <c r="C183" t="s">
        <v>463</v>
      </c>
      <c r="D183" t="s">
        <v>464</v>
      </c>
      <c r="E183" t="s">
        <v>459</v>
      </c>
      <c r="F183" t="s">
        <v>465</v>
      </c>
      <c r="G183">
        <v>15400</v>
      </c>
      <c r="H183">
        <v>0</v>
      </c>
      <c r="I183">
        <v>559050</v>
      </c>
    </row>
    <row r="184" spans="1:9" ht="15.75" hidden="1" x14ac:dyDescent="0.25">
      <c r="A184" t="s">
        <v>458</v>
      </c>
      <c r="B184" s="2">
        <v>45218</v>
      </c>
      <c r="C184" t="s">
        <v>463</v>
      </c>
      <c r="D184" t="s">
        <v>407</v>
      </c>
      <c r="E184" t="s">
        <v>466</v>
      </c>
      <c r="F184" t="s">
        <v>467</v>
      </c>
      <c r="G184">
        <v>24500</v>
      </c>
      <c r="H184">
        <v>0</v>
      </c>
      <c r="I184">
        <v>583550</v>
      </c>
    </row>
    <row r="185" spans="1:9" s="85" customFormat="1" ht="15.75" hidden="1" x14ac:dyDescent="0.25">
      <c r="A185" s="85" t="s">
        <v>462</v>
      </c>
      <c r="B185" s="105">
        <v>45218</v>
      </c>
      <c r="C185" s="85" t="s">
        <v>190</v>
      </c>
      <c r="D185" s="85" t="s">
        <v>191</v>
      </c>
      <c r="E185" s="85" t="s">
        <v>468</v>
      </c>
      <c r="F185" s="85" t="s">
        <v>468</v>
      </c>
      <c r="G185" s="85">
        <v>0</v>
      </c>
      <c r="H185" s="85">
        <v>2000000</v>
      </c>
      <c r="I185" s="85">
        <v>-1416450</v>
      </c>
    </row>
    <row r="186" spans="1:9" ht="15.75" hidden="1" x14ac:dyDescent="0.25">
      <c r="A186" t="s">
        <v>460</v>
      </c>
      <c r="B186" s="2">
        <v>45218</v>
      </c>
      <c r="C186" t="s">
        <v>245</v>
      </c>
      <c r="D186" t="s">
        <v>246</v>
      </c>
      <c r="E186" t="s">
        <v>461</v>
      </c>
      <c r="F186" t="s">
        <v>461</v>
      </c>
      <c r="G186">
        <v>2000000</v>
      </c>
      <c r="H186">
        <v>0</v>
      </c>
      <c r="I186">
        <v>583550</v>
      </c>
    </row>
    <row r="187" spans="1:9" s="85" customFormat="1" ht="15.75" x14ac:dyDescent="0.25">
      <c r="A187" s="85" t="s">
        <v>469</v>
      </c>
      <c r="B187" s="105">
        <v>45219</v>
      </c>
      <c r="C187" s="85" t="s">
        <v>219</v>
      </c>
      <c r="D187" s="85" t="s">
        <v>204</v>
      </c>
      <c r="E187" s="85" t="s">
        <v>470</v>
      </c>
      <c r="F187" s="85" t="s">
        <v>471</v>
      </c>
      <c r="G187" s="85">
        <v>0</v>
      </c>
      <c r="H187" s="85">
        <v>100000</v>
      </c>
      <c r="I187" s="85">
        <v>483550</v>
      </c>
    </row>
    <row r="188" spans="1:9" s="85" customFormat="1" ht="15.75" hidden="1" x14ac:dyDescent="0.25">
      <c r="A188" s="85" t="s">
        <v>472</v>
      </c>
      <c r="B188" s="105">
        <v>45219</v>
      </c>
      <c r="C188" s="85" t="s">
        <v>219</v>
      </c>
      <c r="D188" s="85" t="s">
        <v>204</v>
      </c>
      <c r="E188" s="85" t="s">
        <v>473</v>
      </c>
      <c r="F188" s="85" t="s">
        <v>474</v>
      </c>
      <c r="G188" s="85">
        <v>0</v>
      </c>
      <c r="H188" s="85">
        <v>392500</v>
      </c>
      <c r="I188" s="85">
        <v>91050</v>
      </c>
    </row>
    <row r="189" spans="1:9" s="85" customFormat="1" ht="15.75" hidden="1" x14ac:dyDescent="0.25">
      <c r="A189" s="85" t="s">
        <v>475</v>
      </c>
      <c r="B189" s="105">
        <v>45219</v>
      </c>
      <c r="C189" s="85" t="s">
        <v>219</v>
      </c>
      <c r="D189" s="85" t="s">
        <v>204</v>
      </c>
      <c r="E189" s="85" t="s">
        <v>476</v>
      </c>
      <c r="F189" s="85" t="s">
        <v>477</v>
      </c>
      <c r="G189" s="85">
        <v>0</v>
      </c>
      <c r="H189" s="85">
        <v>237200</v>
      </c>
      <c r="I189" s="85">
        <v>-146150</v>
      </c>
    </row>
    <row r="190" spans="1:9" s="85" customFormat="1" ht="15.75" hidden="1" x14ac:dyDescent="0.25">
      <c r="A190" s="85" t="s">
        <v>478</v>
      </c>
      <c r="B190" s="105">
        <v>45219</v>
      </c>
      <c r="C190" s="85" t="s">
        <v>219</v>
      </c>
      <c r="D190" s="85" t="s">
        <v>204</v>
      </c>
      <c r="E190" s="85" t="s">
        <v>479</v>
      </c>
      <c r="F190" s="85" t="s">
        <v>480</v>
      </c>
      <c r="G190" s="85">
        <v>0</v>
      </c>
      <c r="H190" s="85">
        <v>222000</v>
      </c>
      <c r="I190" s="85">
        <v>-368150</v>
      </c>
    </row>
    <row r="191" spans="1:9" s="85" customFormat="1" ht="15.75" hidden="1" x14ac:dyDescent="0.25">
      <c r="A191" s="85" t="s">
        <v>481</v>
      </c>
      <c r="B191" s="105">
        <v>45219</v>
      </c>
      <c r="C191" s="85" t="s">
        <v>219</v>
      </c>
      <c r="D191" s="85" t="s">
        <v>204</v>
      </c>
      <c r="E191" s="85" t="s">
        <v>482</v>
      </c>
      <c r="F191" s="85" t="s">
        <v>483</v>
      </c>
      <c r="G191" s="85">
        <v>0</v>
      </c>
      <c r="H191" s="85">
        <v>449500</v>
      </c>
      <c r="I191" s="85">
        <v>-817650</v>
      </c>
    </row>
    <row r="192" spans="1:9" ht="15.75" hidden="1" x14ac:dyDescent="0.25">
      <c r="A192" t="s">
        <v>484</v>
      </c>
      <c r="B192" s="2">
        <v>45219</v>
      </c>
      <c r="C192" t="s">
        <v>229</v>
      </c>
      <c r="D192" t="s">
        <v>204</v>
      </c>
      <c r="E192" t="s">
        <v>485</v>
      </c>
      <c r="F192" t="s">
        <v>486</v>
      </c>
      <c r="G192">
        <v>500000</v>
      </c>
      <c r="H192">
        <v>0</v>
      </c>
      <c r="I192">
        <v>-317650</v>
      </c>
    </row>
    <row r="193" spans="1:9" ht="15.75" hidden="1" x14ac:dyDescent="0.25">
      <c r="A193" t="s">
        <v>487</v>
      </c>
      <c r="B193" s="2">
        <v>45219</v>
      </c>
      <c r="C193" t="s">
        <v>229</v>
      </c>
      <c r="D193" t="s">
        <v>204</v>
      </c>
      <c r="E193" t="s">
        <v>488</v>
      </c>
      <c r="F193" t="s">
        <v>489</v>
      </c>
      <c r="G193">
        <v>500000</v>
      </c>
      <c r="H193">
        <v>0</v>
      </c>
      <c r="I193">
        <v>182350</v>
      </c>
    </row>
    <row r="194" spans="1:9" ht="15.75" hidden="1" x14ac:dyDescent="0.25">
      <c r="A194" t="s">
        <v>490</v>
      </c>
      <c r="B194" s="2">
        <v>45219</v>
      </c>
      <c r="C194" t="s">
        <v>219</v>
      </c>
      <c r="D194" t="s">
        <v>204</v>
      </c>
      <c r="E194" t="s">
        <v>491</v>
      </c>
      <c r="F194" t="s">
        <v>492</v>
      </c>
      <c r="G194">
        <v>225500</v>
      </c>
      <c r="H194">
        <v>0</v>
      </c>
      <c r="I194">
        <v>407850</v>
      </c>
    </row>
    <row r="195" spans="1:9" ht="15.75" hidden="1" x14ac:dyDescent="0.25">
      <c r="A195" t="s">
        <v>493</v>
      </c>
      <c r="B195" s="2">
        <v>45223</v>
      </c>
      <c r="C195" t="s">
        <v>495</v>
      </c>
      <c r="D195" t="s">
        <v>496</v>
      </c>
      <c r="E195" t="s">
        <v>497</v>
      </c>
      <c r="F195" t="s">
        <v>498</v>
      </c>
      <c r="G195">
        <v>34000</v>
      </c>
      <c r="H195">
        <v>0</v>
      </c>
      <c r="I195">
        <v>441850</v>
      </c>
    </row>
    <row r="196" spans="1:9" ht="15.75" hidden="1" x14ac:dyDescent="0.25">
      <c r="A196" t="s">
        <v>494</v>
      </c>
      <c r="B196" s="2">
        <v>45223</v>
      </c>
      <c r="C196" t="s">
        <v>215</v>
      </c>
      <c r="D196" t="s">
        <v>204</v>
      </c>
      <c r="E196" t="s">
        <v>499</v>
      </c>
      <c r="F196" t="s">
        <v>500</v>
      </c>
      <c r="G196">
        <v>0</v>
      </c>
      <c r="H196">
        <v>75000</v>
      </c>
      <c r="I196">
        <v>366850</v>
      </c>
    </row>
    <row r="197" spans="1:9" ht="15.75" hidden="1" x14ac:dyDescent="0.25">
      <c r="A197" t="s">
        <v>501</v>
      </c>
      <c r="B197" s="2">
        <v>45223</v>
      </c>
      <c r="C197" t="s">
        <v>211</v>
      </c>
      <c r="D197" t="s">
        <v>204</v>
      </c>
      <c r="E197" t="s">
        <v>502</v>
      </c>
      <c r="F197" t="s">
        <v>503</v>
      </c>
      <c r="G197">
        <v>0</v>
      </c>
      <c r="H197">
        <v>4000</v>
      </c>
      <c r="I197">
        <v>362850</v>
      </c>
    </row>
    <row r="198" spans="1:9" s="85" customFormat="1" ht="15.75" hidden="1" x14ac:dyDescent="0.25">
      <c r="A198" s="85" t="s">
        <v>504</v>
      </c>
      <c r="B198" s="105">
        <v>45223</v>
      </c>
      <c r="C198" s="85" t="s">
        <v>229</v>
      </c>
      <c r="D198" s="85" t="s">
        <v>204</v>
      </c>
      <c r="E198" s="85" t="s">
        <v>505</v>
      </c>
      <c r="F198" s="85" t="s">
        <v>506</v>
      </c>
      <c r="G198" s="85">
        <v>0</v>
      </c>
      <c r="H198" s="85">
        <v>340000</v>
      </c>
      <c r="I198" s="85">
        <v>22850</v>
      </c>
    </row>
    <row r="199" spans="1:9" ht="15.75" hidden="1" x14ac:dyDescent="0.25">
      <c r="A199" t="s">
        <v>507</v>
      </c>
      <c r="B199" s="2">
        <v>45223</v>
      </c>
      <c r="C199" t="s">
        <v>211</v>
      </c>
      <c r="D199" t="s">
        <v>204</v>
      </c>
      <c r="E199" t="s">
        <v>508</v>
      </c>
      <c r="F199" t="s">
        <v>509</v>
      </c>
      <c r="G199">
        <v>0</v>
      </c>
      <c r="H199">
        <v>48000</v>
      </c>
      <c r="I199">
        <v>-25150</v>
      </c>
    </row>
    <row r="200" spans="1:9" s="85" customFormat="1" ht="15.75" hidden="1" x14ac:dyDescent="0.25">
      <c r="A200" s="85" t="s">
        <v>510</v>
      </c>
      <c r="B200" s="105">
        <v>45223</v>
      </c>
      <c r="C200" s="85" t="s">
        <v>190</v>
      </c>
      <c r="D200" s="85" t="s">
        <v>191</v>
      </c>
      <c r="E200" s="85" t="s">
        <v>511</v>
      </c>
      <c r="F200" s="85" t="s">
        <v>512</v>
      </c>
      <c r="G200" s="85">
        <v>0</v>
      </c>
      <c r="H200" s="85">
        <v>200000</v>
      </c>
      <c r="I200" s="85">
        <v>-225150</v>
      </c>
    </row>
    <row r="201" spans="1:9" s="85" customFormat="1" ht="15.75" hidden="1" x14ac:dyDescent="0.25">
      <c r="A201" s="85" t="s">
        <v>513</v>
      </c>
      <c r="B201" s="105">
        <v>45223</v>
      </c>
      <c r="C201" s="85" t="s">
        <v>514</v>
      </c>
      <c r="D201" s="85" t="s">
        <v>191</v>
      </c>
      <c r="E201" s="85" t="s">
        <v>515</v>
      </c>
      <c r="F201" s="85" t="s">
        <v>516</v>
      </c>
      <c r="G201" s="85">
        <v>0</v>
      </c>
      <c r="H201" s="85">
        <v>120000</v>
      </c>
      <c r="I201" s="85">
        <v>-345150</v>
      </c>
    </row>
    <row r="202" spans="1:9" ht="15.75" hidden="1" x14ac:dyDescent="0.25">
      <c r="A202" t="s">
        <v>517</v>
      </c>
      <c r="B202" s="2">
        <v>45223</v>
      </c>
      <c r="C202" t="s">
        <v>229</v>
      </c>
      <c r="D202" t="s">
        <v>204</v>
      </c>
      <c r="E202" t="s">
        <v>518</v>
      </c>
      <c r="F202" t="s">
        <v>519</v>
      </c>
      <c r="G202">
        <v>500000</v>
      </c>
      <c r="H202">
        <v>0</v>
      </c>
      <c r="I202">
        <v>154850</v>
      </c>
    </row>
    <row r="203" spans="1:9" ht="15.75" hidden="1" x14ac:dyDescent="0.25">
      <c r="A203" t="s">
        <v>520</v>
      </c>
      <c r="B203" s="2">
        <v>45223</v>
      </c>
      <c r="C203" t="s">
        <v>203</v>
      </c>
      <c r="D203" t="s">
        <v>204</v>
      </c>
      <c r="E203" t="s">
        <v>521</v>
      </c>
      <c r="F203" t="s">
        <v>522</v>
      </c>
      <c r="G203">
        <v>26400</v>
      </c>
      <c r="H203">
        <v>0</v>
      </c>
      <c r="I203">
        <v>181250</v>
      </c>
    </row>
    <row r="204" spans="1:9" ht="15.75" hidden="1" x14ac:dyDescent="0.25">
      <c r="A204" t="s">
        <v>524</v>
      </c>
      <c r="B204" s="2">
        <v>45223</v>
      </c>
      <c r="C204" t="s">
        <v>525</v>
      </c>
      <c r="D204" t="s">
        <v>526</v>
      </c>
      <c r="E204" t="s">
        <v>527</v>
      </c>
      <c r="F204" t="s">
        <v>528</v>
      </c>
      <c r="G204">
        <v>0</v>
      </c>
      <c r="H204">
        <v>20000</v>
      </c>
      <c r="I204">
        <v>161250</v>
      </c>
    </row>
    <row r="205" spans="1:9" ht="15.75" hidden="1" x14ac:dyDescent="0.25">
      <c r="A205" t="s">
        <v>529</v>
      </c>
      <c r="B205" s="2">
        <v>45223</v>
      </c>
      <c r="C205" t="s">
        <v>451</v>
      </c>
      <c r="D205" t="s">
        <v>266</v>
      </c>
      <c r="E205" t="s">
        <v>530</v>
      </c>
      <c r="F205" t="s">
        <v>531</v>
      </c>
      <c r="G205">
        <v>65000</v>
      </c>
      <c r="H205">
        <v>0</v>
      </c>
      <c r="I205">
        <v>226250</v>
      </c>
    </row>
    <row r="206" spans="1:9" ht="15.75" hidden="1" x14ac:dyDescent="0.25">
      <c r="A206" t="s">
        <v>532</v>
      </c>
      <c r="B206" s="2">
        <v>45223</v>
      </c>
      <c r="C206" t="s">
        <v>463</v>
      </c>
      <c r="D206" t="s">
        <v>533</v>
      </c>
      <c r="E206" t="s">
        <v>534</v>
      </c>
      <c r="F206" t="s">
        <v>535</v>
      </c>
      <c r="G206">
        <v>75300</v>
      </c>
      <c r="H206">
        <v>0</v>
      </c>
      <c r="I206">
        <v>301550</v>
      </c>
    </row>
    <row r="207" spans="1:9" ht="15.75" hidden="1" x14ac:dyDescent="0.25">
      <c r="A207" t="s">
        <v>536</v>
      </c>
      <c r="B207" s="2">
        <v>45223</v>
      </c>
      <c r="C207" t="s">
        <v>369</v>
      </c>
      <c r="D207" t="s">
        <v>537</v>
      </c>
      <c r="E207" t="s">
        <v>378</v>
      </c>
      <c r="F207" t="s">
        <v>538</v>
      </c>
      <c r="G207">
        <v>5000</v>
      </c>
      <c r="H207">
        <v>0</v>
      </c>
      <c r="I207">
        <v>306550</v>
      </c>
    </row>
    <row r="208" spans="1:9" ht="15.75" hidden="1" x14ac:dyDescent="0.25">
      <c r="A208" t="s">
        <v>539</v>
      </c>
      <c r="B208" s="2">
        <v>45225</v>
      </c>
      <c r="C208" t="s">
        <v>447</v>
      </c>
      <c r="D208" t="s">
        <v>204</v>
      </c>
      <c r="E208" t="s">
        <v>540</v>
      </c>
      <c r="F208" t="s">
        <v>541</v>
      </c>
      <c r="G208">
        <v>0</v>
      </c>
      <c r="H208">
        <v>15000</v>
      </c>
      <c r="I208">
        <v>291550</v>
      </c>
    </row>
    <row r="209" spans="1:9" s="135" customFormat="1" ht="15.75" x14ac:dyDescent="0.25">
      <c r="A209" s="135" t="s">
        <v>542</v>
      </c>
      <c r="B209" s="113">
        <v>45225</v>
      </c>
      <c r="C209" s="135" t="s">
        <v>211</v>
      </c>
      <c r="D209" s="135" t="s">
        <v>204</v>
      </c>
      <c r="E209" s="135" t="s">
        <v>543</v>
      </c>
      <c r="F209" s="135" t="s">
        <v>544</v>
      </c>
      <c r="G209" s="135">
        <v>0</v>
      </c>
      <c r="H209" s="135">
        <v>100000</v>
      </c>
      <c r="I209" s="135">
        <v>191550</v>
      </c>
    </row>
    <row r="210" spans="1:9" s="85" customFormat="1" ht="15.75" hidden="1" x14ac:dyDescent="0.25">
      <c r="A210" s="85" t="s">
        <v>545</v>
      </c>
      <c r="B210" s="105">
        <v>45225</v>
      </c>
      <c r="C210" s="85" t="s">
        <v>546</v>
      </c>
      <c r="D210" s="85" t="s">
        <v>191</v>
      </c>
      <c r="E210" s="85" t="s">
        <v>547</v>
      </c>
      <c r="F210" s="85" t="s">
        <v>548</v>
      </c>
      <c r="G210" s="85">
        <v>0</v>
      </c>
      <c r="H210" s="85">
        <v>417500</v>
      </c>
      <c r="I210" s="85">
        <v>-225950</v>
      </c>
    </row>
    <row r="211" spans="1:9" s="85" customFormat="1" ht="15.75" hidden="1" x14ac:dyDescent="0.25">
      <c r="A211" s="85" t="s">
        <v>549</v>
      </c>
      <c r="B211" s="105">
        <v>45225</v>
      </c>
      <c r="C211" s="85" t="s">
        <v>229</v>
      </c>
      <c r="D211" s="85" t="s">
        <v>204</v>
      </c>
      <c r="E211" s="85" t="s">
        <v>550</v>
      </c>
      <c r="F211" s="85" t="s">
        <v>551</v>
      </c>
      <c r="G211" s="85">
        <v>0</v>
      </c>
      <c r="H211" s="85">
        <v>500000</v>
      </c>
      <c r="I211" s="85">
        <v>-725950</v>
      </c>
    </row>
    <row r="212" spans="1:9" s="85" customFormat="1" ht="15.75" hidden="1" x14ac:dyDescent="0.25">
      <c r="A212" s="85" t="s">
        <v>552</v>
      </c>
      <c r="B212" s="105">
        <v>45225</v>
      </c>
      <c r="C212" s="85" t="s">
        <v>229</v>
      </c>
      <c r="D212" s="85" t="s">
        <v>204</v>
      </c>
      <c r="E212" s="85" t="s">
        <v>553</v>
      </c>
      <c r="F212" s="85" t="s">
        <v>554</v>
      </c>
      <c r="G212" s="85">
        <v>0</v>
      </c>
      <c r="H212" s="85">
        <v>500000</v>
      </c>
      <c r="I212" s="85">
        <v>-1225950</v>
      </c>
    </row>
    <row r="213" spans="1:9" ht="15.75" hidden="1" x14ac:dyDescent="0.25">
      <c r="A213" t="s">
        <v>555</v>
      </c>
      <c r="B213" s="2">
        <v>45225</v>
      </c>
      <c r="C213" t="s">
        <v>190</v>
      </c>
      <c r="D213" t="s">
        <v>191</v>
      </c>
      <c r="E213" t="s">
        <v>556</v>
      </c>
      <c r="F213" t="s">
        <v>557</v>
      </c>
      <c r="G213">
        <v>0</v>
      </c>
      <c r="H213">
        <v>25100</v>
      </c>
      <c r="I213">
        <v>-1251050</v>
      </c>
    </row>
    <row r="214" spans="1:9" ht="15.75" hidden="1" x14ac:dyDescent="0.25">
      <c r="A214" t="s">
        <v>558</v>
      </c>
      <c r="B214" s="2">
        <v>45225</v>
      </c>
      <c r="C214" t="s">
        <v>190</v>
      </c>
      <c r="D214" t="s">
        <v>191</v>
      </c>
      <c r="E214" t="s">
        <v>559</v>
      </c>
      <c r="F214" t="s">
        <v>560</v>
      </c>
      <c r="G214">
        <v>0</v>
      </c>
      <c r="H214">
        <v>50000</v>
      </c>
      <c r="I214">
        <v>-1301050</v>
      </c>
    </row>
    <row r="215" spans="1:9" ht="15.75" hidden="1" x14ac:dyDescent="0.25">
      <c r="A215" t="s">
        <v>561</v>
      </c>
      <c r="B215" s="2">
        <v>45225</v>
      </c>
      <c r="C215" t="s">
        <v>211</v>
      </c>
      <c r="D215" t="s">
        <v>191</v>
      </c>
      <c r="E215" t="s">
        <v>562</v>
      </c>
      <c r="F215" t="s">
        <v>563</v>
      </c>
      <c r="G215">
        <v>0</v>
      </c>
      <c r="H215">
        <v>26000</v>
      </c>
      <c r="I215">
        <v>-1327050</v>
      </c>
    </row>
    <row r="216" spans="1:9" ht="15.75" hidden="1" x14ac:dyDescent="0.25">
      <c r="A216" t="s">
        <v>564</v>
      </c>
      <c r="B216" s="2">
        <v>45225</v>
      </c>
      <c r="C216" t="s">
        <v>190</v>
      </c>
      <c r="D216" t="s">
        <v>191</v>
      </c>
      <c r="E216" t="s">
        <v>565</v>
      </c>
      <c r="F216" t="s">
        <v>566</v>
      </c>
      <c r="G216">
        <v>0</v>
      </c>
      <c r="H216">
        <v>56000</v>
      </c>
      <c r="I216">
        <v>-1383050</v>
      </c>
    </row>
    <row r="217" spans="1:9" s="85" customFormat="1" ht="15.75" hidden="1" x14ac:dyDescent="0.25">
      <c r="A217" s="85" t="s">
        <v>567</v>
      </c>
      <c r="B217" s="105">
        <v>45225</v>
      </c>
      <c r="C217" s="85" t="s">
        <v>190</v>
      </c>
      <c r="D217" s="85" t="s">
        <v>191</v>
      </c>
      <c r="E217" s="85" t="s">
        <v>568</v>
      </c>
      <c r="F217" s="85" t="s">
        <v>569</v>
      </c>
      <c r="G217" s="85">
        <v>0</v>
      </c>
      <c r="H217" s="85">
        <v>311700</v>
      </c>
      <c r="I217" s="85">
        <v>-1694750</v>
      </c>
    </row>
    <row r="218" spans="1:9" s="85" customFormat="1" ht="15.75" hidden="1" x14ac:dyDescent="0.25">
      <c r="A218" s="85" t="s">
        <v>570</v>
      </c>
      <c r="B218" s="105">
        <v>45225</v>
      </c>
      <c r="C218" s="85" t="s">
        <v>265</v>
      </c>
      <c r="D218" s="85" t="s">
        <v>191</v>
      </c>
      <c r="E218" s="85" t="s">
        <v>571</v>
      </c>
      <c r="F218" s="85" t="s">
        <v>572</v>
      </c>
      <c r="G218" s="85">
        <v>0</v>
      </c>
      <c r="H218" s="85">
        <v>180000</v>
      </c>
      <c r="I218" s="85">
        <v>-1874750</v>
      </c>
    </row>
    <row r="219" spans="1:9" s="85" customFormat="1" ht="15.75" hidden="1" x14ac:dyDescent="0.25">
      <c r="A219" s="85" t="s">
        <v>589</v>
      </c>
      <c r="B219" s="105">
        <v>45225</v>
      </c>
      <c r="C219" s="85" t="s">
        <v>190</v>
      </c>
      <c r="D219" s="85" t="s">
        <v>191</v>
      </c>
      <c r="E219" s="85" t="s">
        <v>590</v>
      </c>
      <c r="F219" s="85" t="s">
        <v>591</v>
      </c>
      <c r="G219" s="85">
        <v>0</v>
      </c>
      <c r="H219" s="85">
        <v>500000</v>
      </c>
      <c r="I219" s="85">
        <v>-2374750</v>
      </c>
    </row>
    <row r="220" spans="1:9" s="85" customFormat="1" ht="15.75" hidden="1" x14ac:dyDescent="0.25">
      <c r="A220" s="85" t="s">
        <v>592</v>
      </c>
      <c r="B220" s="105">
        <v>45225</v>
      </c>
      <c r="C220" s="85" t="s">
        <v>190</v>
      </c>
      <c r="D220" s="85" t="s">
        <v>191</v>
      </c>
      <c r="E220" s="85" t="s">
        <v>593</v>
      </c>
      <c r="F220" s="85" t="s">
        <v>594</v>
      </c>
      <c r="G220" s="85">
        <v>0</v>
      </c>
      <c r="H220" s="85">
        <v>500000</v>
      </c>
      <c r="I220" s="85">
        <v>-2874750</v>
      </c>
    </row>
    <row r="221" spans="1:9" s="85" customFormat="1" ht="15.75" hidden="1" x14ac:dyDescent="0.25">
      <c r="A221" s="85" t="s">
        <v>595</v>
      </c>
      <c r="B221" s="105">
        <v>45225</v>
      </c>
      <c r="C221" s="85" t="s">
        <v>190</v>
      </c>
      <c r="D221" s="85" t="s">
        <v>191</v>
      </c>
      <c r="E221" s="85" t="s">
        <v>596</v>
      </c>
      <c r="F221" s="85" t="s">
        <v>597</v>
      </c>
      <c r="G221" s="85">
        <v>0</v>
      </c>
      <c r="H221" s="85">
        <v>500000</v>
      </c>
      <c r="I221" s="85">
        <v>-3374750</v>
      </c>
    </row>
    <row r="222" spans="1:9" s="85" customFormat="1" ht="15.75" hidden="1" x14ac:dyDescent="0.25">
      <c r="A222" s="85" t="s">
        <v>598</v>
      </c>
      <c r="B222" s="105">
        <v>45225</v>
      </c>
      <c r="C222" s="85" t="s">
        <v>190</v>
      </c>
      <c r="D222" s="85" t="s">
        <v>191</v>
      </c>
      <c r="E222" s="85" t="s">
        <v>599</v>
      </c>
      <c r="F222" s="85" t="s">
        <v>600</v>
      </c>
      <c r="G222" s="85">
        <v>0</v>
      </c>
      <c r="H222" s="85">
        <v>500000</v>
      </c>
      <c r="I222" s="85">
        <v>-3874750</v>
      </c>
    </row>
    <row r="223" spans="1:9" s="85" customFormat="1" ht="15.75" hidden="1" x14ac:dyDescent="0.25">
      <c r="A223" s="85" t="s">
        <v>601</v>
      </c>
      <c r="B223" s="105">
        <v>45225</v>
      </c>
      <c r="C223" s="85" t="s">
        <v>190</v>
      </c>
      <c r="D223" s="85" t="s">
        <v>191</v>
      </c>
      <c r="E223" s="85" t="s">
        <v>602</v>
      </c>
      <c r="F223" s="85" t="s">
        <v>603</v>
      </c>
      <c r="G223" s="85">
        <v>0</v>
      </c>
      <c r="H223" s="85">
        <v>300000</v>
      </c>
      <c r="I223" s="85">
        <v>-4174750</v>
      </c>
    </row>
    <row r="224" spans="1:9" s="85" customFormat="1" ht="15.75" hidden="1" x14ac:dyDescent="0.25">
      <c r="A224" s="85" t="s">
        <v>604</v>
      </c>
      <c r="B224" s="105">
        <v>45225</v>
      </c>
      <c r="C224" s="85" t="s">
        <v>190</v>
      </c>
      <c r="D224" s="85" t="s">
        <v>191</v>
      </c>
      <c r="E224" s="85" t="s">
        <v>605</v>
      </c>
      <c r="F224" s="85" t="s">
        <v>606</v>
      </c>
      <c r="G224" s="85">
        <v>0</v>
      </c>
      <c r="H224" s="85">
        <v>300000</v>
      </c>
      <c r="I224" s="85">
        <v>-4474750</v>
      </c>
    </row>
    <row r="225" spans="1:9" s="85" customFormat="1" ht="15.75" hidden="1" x14ac:dyDescent="0.25">
      <c r="A225" s="85" t="s">
        <v>607</v>
      </c>
      <c r="B225" s="105">
        <v>45225</v>
      </c>
      <c r="C225" s="85" t="s">
        <v>190</v>
      </c>
      <c r="D225" s="85" t="s">
        <v>191</v>
      </c>
      <c r="E225" s="85" t="s">
        <v>608</v>
      </c>
      <c r="F225" s="85" t="s">
        <v>609</v>
      </c>
      <c r="G225" s="85">
        <v>0</v>
      </c>
      <c r="H225" s="85">
        <v>750000</v>
      </c>
      <c r="I225" s="85">
        <v>-5224750</v>
      </c>
    </row>
    <row r="226" spans="1:9" s="85" customFormat="1" ht="15.75" hidden="1" x14ac:dyDescent="0.25">
      <c r="A226" s="85" t="s">
        <v>610</v>
      </c>
      <c r="B226" s="105">
        <v>45225</v>
      </c>
      <c r="C226" s="85" t="s">
        <v>190</v>
      </c>
      <c r="D226" s="85" t="s">
        <v>191</v>
      </c>
      <c r="E226" s="85" t="s">
        <v>611</v>
      </c>
      <c r="F226" s="85" t="s">
        <v>612</v>
      </c>
      <c r="G226" s="85">
        <v>0</v>
      </c>
      <c r="H226" s="85">
        <v>300000</v>
      </c>
      <c r="I226" s="85">
        <v>-5524750</v>
      </c>
    </row>
    <row r="227" spans="1:9" s="85" customFormat="1" ht="15.75" hidden="1" x14ac:dyDescent="0.25">
      <c r="A227" s="85" t="s">
        <v>613</v>
      </c>
      <c r="B227" s="105">
        <v>45225</v>
      </c>
      <c r="C227" s="85" t="s">
        <v>190</v>
      </c>
      <c r="D227" s="85" t="s">
        <v>191</v>
      </c>
      <c r="E227" s="85" t="s">
        <v>614</v>
      </c>
      <c r="F227" s="85" t="s">
        <v>615</v>
      </c>
      <c r="G227" s="85">
        <v>0</v>
      </c>
      <c r="H227" s="85">
        <v>500000</v>
      </c>
      <c r="I227" s="85">
        <v>-6024750</v>
      </c>
    </row>
    <row r="228" spans="1:9" ht="15.75" hidden="1" x14ac:dyDescent="0.25">
      <c r="A228" t="s">
        <v>573</v>
      </c>
      <c r="B228" s="2">
        <v>45225</v>
      </c>
      <c r="C228" t="s">
        <v>463</v>
      </c>
      <c r="D228" t="s">
        <v>574</v>
      </c>
      <c r="E228" t="s">
        <v>575</v>
      </c>
      <c r="F228" t="s">
        <v>576</v>
      </c>
      <c r="G228">
        <v>52200</v>
      </c>
      <c r="H228">
        <v>0</v>
      </c>
      <c r="I228">
        <v>-5972550</v>
      </c>
    </row>
    <row r="229" spans="1:9" ht="15.75" hidden="1" x14ac:dyDescent="0.25">
      <c r="A229" t="s">
        <v>577</v>
      </c>
      <c r="B229" s="2">
        <v>45225</v>
      </c>
      <c r="C229" t="s">
        <v>245</v>
      </c>
      <c r="D229" t="s">
        <v>246</v>
      </c>
      <c r="E229" t="s">
        <v>578</v>
      </c>
      <c r="F229" t="s">
        <v>579</v>
      </c>
      <c r="G229">
        <v>6000000</v>
      </c>
      <c r="H229">
        <v>0</v>
      </c>
      <c r="I229">
        <v>27450</v>
      </c>
    </row>
    <row r="230" spans="1:9" ht="15.75" hidden="1" x14ac:dyDescent="0.25">
      <c r="A230" t="s">
        <v>580</v>
      </c>
      <c r="B230" s="2">
        <v>45225</v>
      </c>
      <c r="C230" t="s">
        <v>190</v>
      </c>
      <c r="D230" t="s">
        <v>191</v>
      </c>
      <c r="E230" t="s">
        <v>581</v>
      </c>
      <c r="F230" t="s">
        <v>582</v>
      </c>
      <c r="G230">
        <v>500000</v>
      </c>
      <c r="H230">
        <v>0</v>
      </c>
      <c r="I230">
        <v>527450</v>
      </c>
    </row>
    <row r="231" spans="1:9" ht="15.75" hidden="1" x14ac:dyDescent="0.25">
      <c r="A231" t="s">
        <v>583</v>
      </c>
      <c r="B231" s="2">
        <v>45225</v>
      </c>
      <c r="C231" t="s">
        <v>190</v>
      </c>
      <c r="D231" t="s">
        <v>191</v>
      </c>
      <c r="E231" t="s">
        <v>584</v>
      </c>
      <c r="F231" t="s">
        <v>585</v>
      </c>
      <c r="G231">
        <v>50000</v>
      </c>
      <c r="H231">
        <v>0</v>
      </c>
      <c r="I231">
        <v>577450</v>
      </c>
    </row>
    <row r="232" spans="1:9" ht="15.75" hidden="1" x14ac:dyDescent="0.25">
      <c r="A232" t="s">
        <v>586</v>
      </c>
      <c r="B232" s="2">
        <v>45225</v>
      </c>
      <c r="C232" t="s">
        <v>190</v>
      </c>
      <c r="D232" t="s">
        <v>191</v>
      </c>
      <c r="E232" t="s">
        <v>587</v>
      </c>
      <c r="F232" t="s">
        <v>588</v>
      </c>
      <c r="G232">
        <v>80000</v>
      </c>
      <c r="H232">
        <v>0</v>
      </c>
      <c r="I232">
        <v>657450</v>
      </c>
    </row>
    <row r="233" spans="1:9" ht="15.75" hidden="1" x14ac:dyDescent="0.25">
      <c r="A233" t="s">
        <v>616</v>
      </c>
      <c r="B233" s="2">
        <v>45225</v>
      </c>
      <c r="C233" t="s">
        <v>369</v>
      </c>
      <c r="D233" t="s">
        <v>617</v>
      </c>
      <c r="E233" t="s">
        <v>618</v>
      </c>
      <c r="F233" t="s">
        <v>619</v>
      </c>
      <c r="G233">
        <v>210000</v>
      </c>
      <c r="H233">
        <v>0</v>
      </c>
      <c r="I233">
        <v>867450</v>
      </c>
    </row>
    <row r="234" spans="1:9" s="135" customFormat="1" ht="15.75" hidden="1" x14ac:dyDescent="0.25">
      <c r="A234" s="135" t="s">
        <v>623</v>
      </c>
      <c r="B234" s="113">
        <v>45230</v>
      </c>
      <c r="C234" s="135" t="s">
        <v>245</v>
      </c>
      <c r="D234" s="135" t="s">
        <v>246</v>
      </c>
      <c r="E234" s="135" t="s">
        <v>624</v>
      </c>
      <c r="F234" s="135" t="s">
        <v>625</v>
      </c>
      <c r="G234" s="135">
        <v>0</v>
      </c>
      <c r="H234" s="135">
        <v>484400</v>
      </c>
      <c r="I234" s="135">
        <v>383050</v>
      </c>
    </row>
    <row r="235" spans="1:9" ht="15.75" hidden="1" x14ac:dyDescent="0.25">
      <c r="A235" t="s">
        <v>626</v>
      </c>
      <c r="B235" s="2">
        <v>45230</v>
      </c>
      <c r="C235" t="s">
        <v>369</v>
      </c>
      <c r="D235" t="s">
        <v>464</v>
      </c>
      <c r="E235" t="s">
        <v>371</v>
      </c>
      <c r="F235" t="s">
        <v>627</v>
      </c>
      <c r="G235">
        <v>10000</v>
      </c>
      <c r="H235">
        <v>0</v>
      </c>
      <c r="I235">
        <v>393050</v>
      </c>
    </row>
    <row r="236" spans="1:9" ht="15.75" hidden="1" x14ac:dyDescent="0.25">
      <c r="A236" t="s">
        <v>628</v>
      </c>
      <c r="B236" s="2">
        <v>45230</v>
      </c>
      <c r="C236" t="s">
        <v>369</v>
      </c>
      <c r="D236" t="s">
        <v>629</v>
      </c>
      <c r="E236" t="s">
        <v>371</v>
      </c>
      <c r="F236" t="s">
        <v>630</v>
      </c>
      <c r="G236">
        <v>10000</v>
      </c>
      <c r="H236">
        <v>0</v>
      </c>
      <c r="I236">
        <v>403050</v>
      </c>
    </row>
    <row r="237" spans="1:9" ht="15.75" hidden="1" x14ac:dyDescent="0.25">
      <c r="A237" t="s">
        <v>631</v>
      </c>
      <c r="B237" s="2">
        <v>45230</v>
      </c>
      <c r="C237" t="s">
        <v>369</v>
      </c>
      <c r="D237" t="s">
        <v>632</v>
      </c>
      <c r="E237" t="s">
        <v>371</v>
      </c>
      <c r="F237" t="s">
        <v>633</v>
      </c>
      <c r="G237">
        <v>10000</v>
      </c>
      <c r="H237">
        <v>0</v>
      </c>
      <c r="I237">
        <v>413050</v>
      </c>
    </row>
    <row r="238" spans="1:9" ht="15.75" hidden="1" x14ac:dyDescent="0.25">
      <c r="A238" t="s">
        <v>634</v>
      </c>
      <c r="B238" s="2">
        <v>45230</v>
      </c>
      <c r="C238" t="s">
        <v>463</v>
      </c>
      <c r="D238" t="s">
        <v>635</v>
      </c>
      <c r="E238" t="s">
        <v>636</v>
      </c>
      <c r="F238" t="s">
        <v>637</v>
      </c>
      <c r="G238">
        <v>5200</v>
      </c>
      <c r="H238">
        <v>0</v>
      </c>
      <c r="I238">
        <v>418250</v>
      </c>
    </row>
    <row r="239" spans="1:9" ht="15.75" hidden="1" x14ac:dyDescent="0.25">
      <c r="A239" t="s">
        <v>638</v>
      </c>
      <c r="B239" s="2">
        <v>45230</v>
      </c>
      <c r="C239" t="s">
        <v>463</v>
      </c>
      <c r="D239" t="s">
        <v>537</v>
      </c>
      <c r="E239" t="s">
        <v>639</v>
      </c>
      <c r="F239" t="s">
        <v>640</v>
      </c>
      <c r="G239">
        <v>7500</v>
      </c>
      <c r="H239">
        <v>0</v>
      </c>
      <c r="I239">
        <v>425750</v>
      </c>
    </row>
    <row r="240" spans="1:9" hidden="1" x14ac:dyDescent="0.25">
      <c r="I240">
        <v>425750</v>
      </c>
    </row>
    <row r="241" spans="9:9" hidden="1" x14ac:dyDescent="0.25">
      <c r="I241">
        <v>425750</v>
      </c>
    </row>
    <row r="242" spans="9:9" hidden="1" x14ac:dyDescent="0.25">
      <c r="I242">
        <v>425750</v>
      </c>
    </row>
    <row r="243" spans="9:9" hidden="1" x14ac:dyDescent="0.25">
      <c r="I243">
        <v>425750</v>
      </c>
    </row>
    <row r="244" spans="9:9" hidden="1" x14ac:dyDescent="0.25">
      <c r="I244">
        <v>425750</v>
      </c>
    </row>
    <row r="245" spans="9:9" hidden="1" x14ac:dyDescent="0.25">
      <c r="I245">
        <v>425750</v>
      </c>
    </row>
    <row r="246" spans="9:9" hidden="1" x14ac:dyDescent="0.25">
      <c r="I246">
        <v>425750</v>
      </c>
    </row>
    <row r="247" spans="9:9" hidden="1" x14ac:dyDescent="0.25">
      <c r="I247">
        <v>425750</v>
      </c>
    </row>
    <row r="248" spans="9:9" hidden="1" x14ac:dyDescent="0.25">
      <c r="I248">
        <v>425750</v>
      </c>
    </row>
    <row r="249" spans="9:9" hidden="1" x14ac:dyDescent="0.25">
      <c r="I249">
        <v>425750</v>
      </c>
    </row>
    <row r="250" spans="9:9" hidden="1" x14ac:dyDescent="0.25">
      <c r="I250">
        <v>425750</v>
      </c>
    </row>
    <row r="251" spans="9:9" hidden="1" x14ac:dyDescent="0.25">
      <c r="I251">
        <v>425750</v>
      </c>
    </row>
    <row r="252" spans="9:9" hidden="1" x14ac:dyDescent="0.25">
      <c r="I252">
        <v>425750</v>
      </c>
    </row>
    <row r="253" spans="9:9" hidden="1" x14ac:dyDescent="0.25">
      <c r="I253">
        <v>425750</v>
      </c>
    </row>
    <row r="254" spans="9:9" hidden="1" x14ac:dyDescent="0.25">
      <c r="I254">
        <v>425750</v>
      </c>
    </row>
    <row r="255" spans="9:9" hidden="1" x14ac:dyDescent="0.25">
      <c r="I255">
        <v>425750</v>
      </c>
    </row>
    <row r="256" spans="9:9" hidden="1" x14ac:dyDescent="0.25">
      <c r="I256">
        <v>425750</v>
      </c>
    </row>
    <row r="257" spans="9:9" hidden="1" x14ac:dyDescent="0.25">
      <c r="I257">
        <v>425750</v>
      </c>
    </row>
    <row r="258" spans="9:9" hidden="1" x14ac:dyDescent="0.25">
      <c r="I258">
        <v>425750</v>
      </c>
    </row>
    <row r="259" spans="9:9" hidden="1" x14ac:dyDescent="0.25">
      <c r="I259">
        <v>425750</v>
      </c>
    </row>
    <row r="260" spans="9:9" hidden="1" x14ac:dyDescent="0.25">
      <c r="I260">
        <v>425750</v>
      </c>
    </row>
    <row r="261" spans="9:9" hidden="1" x14ac:dyDescent="0.25">
      <c r="I261">
        <v>425750</v>
      </c>
    </row>
    <row r="262" spans="9:9" hidden="1" x14ac:dyDescent="0.25">
      <c r="I262">
        <v>425750</v>
      </c>
    </row>
    <row r="263" spans="9:9" hidden="1" x14ac:dyDescent="0.25">
      <c r="I263">
        <v>425750</v>
      </c>
    </row>
    <row r="264" spans="9:9" hidden="1" x14ac:dyDescent="0.25">
      <c r="I264">
        <v>425750</v>
      </c>
    </row>
    <row r="265" spans="9:9" hidden="1" x14ac:dyDescent="0.25">
      <c r="I265">
        <v>425750</v>
      </c>
    </row>
    <row r="266" spans="9:9" hidden="1" x14ac:dyDescent="0.25">
      <c r="I266">
        <v>425750</v>
      </c>
    </row>
    <row r="267" spans="9:9" hidden="1" x14ac:dyDescent="0.25">
      <c r="I267">
        <v>425750</v>
      </c>
    </row>
    <row r="268" spans="9:9" hidden="1" x14ac:dyDescent="0.25">
      <c r="I268">
        <v>425750</v>
      </c>
    </row>
    <row r="269" spans="9:9" hidden="1" x14ac:dyDescent="0.25">
      <c r="I269">
        <v>425750</v>
      </c>
    </row>
    <row r="270" spans="9:9" hidden="1" x14ac:dyDescent="0.25">
      <c r="I270">
        <v>425750</v>
      </c>
    </row>
    <row r="271" spans="9:9" hidden="1" x14ac:dyDescent="0.25">
      <c r="I271">
        <v>425750</v>
      </c>
    </row>
    <row r="272" spans="9:9" hidden="1" x14ac:dyDescent="0.25">
      <c r="I272">
        <v>425750</v>
      </c>
    </row>
    <row r="273" spans="9:9" hidden="1" x14ac:dyDescent="0.25">
      <c r="I273">
        <v>425750</v>
      </c>
    </row>
  </sheetData>
  <autoFilter ref="A2:J273">
    <filterColumn colId="7">
      <filters>
        <filter val="100000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969"/>
  <sheetViews>
    <sheetView topLeftCell="A934" workbookViewId="0">
      <selection activeCell="H950" sqref="H950"/>
    </sheetView>
  </sheetViews>
  <sheetFormatPr defaultRowHeight="19.5" customHeight="1" x14ac:dyDescent="0.25"/>
  <cols>
    <col min="1" max="1" width="18" customWidth="1"/>
    <col min="2" max="2" width="33.28515625" customWidth="1"/>
    <col min="3" max="3" width="23.5703125" customWidth="1"/>
    <col min="4" max="4" width="22" customWidth="1"/>
    <col min="5" max="5" width="13.5703125" customWidth="1"/>
    <col min="6" max="6" width="17" customWidth="1"/>
    <col min="7" max="7" width="14.28515625" bestFit="1" customWidth="1"/>
    <col min="8" max="8" width="13.28515625" customWidth="1"/>
    <col min="9" max="9" width="14.42578125" customWidth="1"/>
    <col min="10" max="10" width="11.5703125" bestFit="1" customWidth="1"/>
  </cols>
  <sheetData>
    <row r="1" spans="1:7" ht="19.5" customHeight="1" x14ac:dyDescent="0.3">
      <c r="A1" s="18" t="s">
        <v>26</v>
      </c>
      <c r="B1" s="5"/>
      <c r="C1" s="6" t="s">
        <v>12</v>
      </c>
      <c r="D1" s="6"/>
      <c r="E1" s="6" t="s">
        <v>13</v>
      </c>
    </row>
    <row r="2" spans="1:7" ht="19.5" customHeight="1" x14ac:dyDescent="0.3">
      <c r="A2" s="7"/>
      <c r="B2" s="20" t="s">
        <v>27</v>
      </c>
      <c r="C2" s="17">
        <f>10000*71</f>
        <v>710000</v>
      </c>
      <c r="D2" s="8"/>
      <c r="E2" s="8"/>
    </row>
    <row r="3" spans="1:7" ht="19.5" customHeight="1" x14ac:dyDescent="0.3">
      <c r="A3" s="5"/>
      <c r="B3" s="20" t="s">
        <v>30</v>
      </c>
      <c r="C3" s="17">
        <f>5000*112</f>
        <v>560000</v>
      </c>
      <c r="D3" s="8"/>
      <c r="E3" s="8"/>
    </row>
    <row r="4" spans="1:7" ht="19.5" customHeight="1" x14ac:dyDescent="0.3">
      <c r="A4" s="5"/>
      <c r="B4" s="20" t="s">
        <v>29</v>
      </c>
      <c r="C4" s="17">
        <f>1000*282</f>
        <v>282000</v>
      </c>
      <c r="D4" s="8"/>
      <c r="E4" s="8"/>
    </row>
    <row r="5" spans="1:7" ht="19.5" customHeight="1" x14ac:dyDescent="0.3">
      <c r="A5" s="5"/>
      <c r="B5" s="20" t="s">
        <v>25</v>
      </c>
      <c r="C5" s="17">
        <f>500*2</f>
        <v>1000</v>
      </c>
      <c r="D5" s="8"/>
      <c r="E5" s="8"/>
      <c r="G5" s="21"/>
    </row>
    <row r="6" spans="1:7" ht="19.5" customHeight="1" x14ac:dyDescent="0.3">
      <c r="A6" s="5"/>
      <c r="B6" s="20" t="s">
        <v>24</v>
      </c>
      <c r="C6" s="17">
        <f>200*1</f>
        <v>200</v>
      </c>
      <c r="D6" s="8"/>
      <c r="E6" s="8"/>
    </row>
    <row r="7" spans="1:7" ht="19.5" customHeight="1" x14ac:dyDescent="0.3">
      <c r="A7" s="5"/>
      <c r="B7" s="20" t="s">
        <v>31</v>
      </c>
      <c r="C7" s="17">
        <f>100*3</f>
        <v>300</v>
      </c>
      <c r="D7" s="8"/>
      <c r="E7" s="8"/>
      <c r="G7" s="22"/>
    </row>
    <row r="8" spans="1:7" ht="19.5" customHeight="1" x14ac:dyDescent="0.3">
      <c r="A8" s="5"/>
      <c r="B8" s="20" t="s">
        <v>28</v>
      </c>
      <c r="C8" s="17">
        <f>50*3</f>
        <v>150</v>
      </c>
      <c r="D8" s="8"/>
      <c r="E8" s="8"/>
      <c r="F8" s="21"/>
      <c r="G8" s="21"/>
    </row>
    <row r="9" spans="1:7" ht="19.5" customHeight="1" x14ac:dyDescent="0.3">
      <c r="A9" s="5"/>
      <c r="B9" s="16"/>
      <c r="C9" s="17"/>
      <c r="D9" s="8"/>
      <c r="E9" s="8"/>
      <c r="F9" s="21"/>
      <c r="G9" s="21"/>
    </row>
    <row r="10" spans="1:7" ht="19.5" customHeight="1" x14ac:dyDescent="0.3">
      <c r="A10" s="5"/>
      <c r="B10" s="9" t="s">
        <v>14</v>
      </c>
      <c r="C10" s="25">
        <f>648100+564600</f>
        <v>1212700</v>
      </c>
      <c r="D10" s="8"/>
      <c r="E10" s="8"/>
    </row>
    <row r="11" spans="1:7" ht="19.5" customHeight="1" x14ac:dyDescent="0.3">
      <c r="A11" s="5"/>
      <c r="B11" s="9" t="s">
        <v>15</v>
      </c>
      <c r="C11" s="23">
        <f>4500000+400000+200000+4800000+265000+900000</f>
        <v>11065000</v>
      </c>
      <c r="D11" s="8"/>
      <c r="E11" s="8"/>
    </row>
    <row r="12" spans="1:7" ht="19.5" customHeight="1" x14ac:dyDescent="0.3">
      <c r="A12" s="5"/>
      <c r="B12" s="9" t="s">
        <v>16</v>
      </c>
      <c r="C12" s="24">
        <f>19200+13250+25000+12500+94500+357200+72500+213000+36750</f>
        <v>843900</v>
      </c>
      <c r="D12" s="8"/>
      <c r="E12" s="8"/>
    </row>
    <row r="13" spans="1:7" ht="19.5" customHeight="1" x14ac:dyDescent="0.3">
      <c r="A13" s="5"/>
      <c r="B13" s="9" t="s">
        <v>21</v>
      </c>
      <c r="C13" s="24">
        <f>33000+18000+8000+8500+38000+12000+50000</f>
        <v>167500</v>
      </c>
      <c r="D13" s="8"/>
      <c r="E13" s="8"/>
      <c r="F13" s="12" t="s">
        <v>17</v>
      </c>
      <c r="G13" s="13">
        <f>C2+C3+C5+C6+C9+C8+C4+C7+C14</f>
        <v>1656650</v>
      </c>
    </row>
    <row r="14" spans="1:7" ht="19.5" customHeight="1" x14ac:dyDescent="0.3">
      <c r="A14" s="5"/>
      <c r="B14" s="16" t="s">
        <v>18</v>
      </c>
      <c r="C14" s="20">
        <v>103000</v>
      </c>
      <c r="D14" s="8"/>
      <c r="E14" s="8"/>
      <c r="F14" s="12" t="s">
        <v>19</v>
      </c>
      <c r="G14" s="13">
        <f>C10+C11+C12+C13</f>
        <v>13289100</v>
      </c>
    </row>
    <row r="15" spans="1:7" ht="19.5" customHeight="1" x14ac:dyDescent="0.25">
      <c r="A15" s="5"/>
      <c r="B15" s="121" t="s">
        <v>20</v>
      </c>
      <c r="C15" s="123">
        <f>SUM(C2:C14)</f>
        <v>14945750</v>
      </c>
      <c r="D15" s="121" t="s">
        <v>20</v>
      </c>
      <c r="E15" s="125">
        <f>SUM(E3:E13)</f>
        <v>0</v>
      </c>
      <c r="F15" s="14"/>
      <c r="G15" s="11">
        <f>SUM(G13:G14)</f>
        <v>14945750</v>
      </c>
    </row>
    <row r="16" spans="1:7" ht="19.5" customHeight="1" x14ac:dyDescent="0.25">
      <c r="A16" s="5"/>
      <c r="B16" s="122"/>
      <c r="C16" s="124"/>
      <c r="D16" s="122"/>
      <c r="E16" s="126"/>
      <c r="G16" s="21" t="e">
        <f>C17-G15</f>
        <v>#REF!</v>
      </c>
    </row>
    <row r="17" spans="1:8" ht="19.5" customHeight="1" x14ac:dyDescent="0.25">
      <c r="C17" s="19" t="e">
        <f>'Cash Report '!#REF!</f>
        <v>#REF!</v>
      </c>
      <c r="E17" s="10"/>
    </row>
    <row r="18" spans="1:8" ht="19.5" customHeight="1" x14ac:dyDescent="0.25">
      <c r="C18" s="15" t="e">
        <f>C15-C17</f>
        <v>#REF!</v>
      </c>
    </row>
    <row r="20" spans="1:8" ht="19.5" customHeight="1" x14ac:dyDescent="0.3">
      <c r="A20" s="18" t="s">
        <v>32</v>
      </c>
      <c r="B20" s="5"/>
      <c r="C20" s="6" t="s">
        <v>12</v>
      </c>
      <c r="D20" s="6"/>
      <c r="E20" s="6" t="s">
        <v>13</v>
      </c>
    </row>
    <row r="21" spans="1:8" ht="19.5" customHeight="1" x14ac:dyDescent="0.3">
      <c r="A21" s="7"/>
      <c r="B21" s="20" t="s">
        <v>27</v>
      </c>
      <c r="C21" s="17">
        <f>10000*71</f>
        <v>710000</v>
      </c>
      <c r="D21" s="8"/>
      <c r="E21" s="8"/>
    </row>
    <row r="22" spans="1:8" ht="19.5" customHeight="1" x14ac:dyDescent="0.3">
      <c r="A22" s="5"/>
      <c r="B22" s="20" t="s">
        <v>30</v>
      </c>
      <c r="C22" s="17">
        <f>5000*112</f>
        <v>560000</v>
      </c>
      <c r="D22" s="8"/>
      <c r="E22" s="8"/>
    </row>
    <row r="23" spans="1:8" ht="19.5" customHeight="1" x14ac:dyDescent="0.3">
      <c r="A23" s="5"/>
      <c r="B23" s="20" t="s">
        <v>29</v>
      </c>
      <c r="C23" s="17">
        <f>1000*282</f>
        <v>282000</v>
      </c>
      <c r="D23" s="8"/>
      <c r="E23" s="8"/>
    </row>
    <row r="24" spans="1:8" ht="19.5" customHeight="1" x14ac:dyDescent="0.3">
      <c r="A24" s="5"/>
      <c r="B24" s="20" t="s">
        <v>25</v>
      </c>
      <c r="C24" s="17">
        <f>500*2</f>
        <v>1000</v>
      </c>
      <c r="D24" s="8"/>
      <c r="E24" s="8"/>
      <c r="G24" s="21"/>
    </row>
    <row r="25" spans="1:8" ht="19.5" customHeight="1" x14ac:dyDescent="0.3">
      <c r="A25" s="5"/>
      <c r="B25" s="20" t="s">
        <v>24</v>
      </c>
      <c r="C25" s="17">
        <f>200*1</f>
        <v>200</v>
      </c>
      <c r="D25" s="8"/>
      <c r="E25" s="8"/>
    </row>
    <row r="26" spans="1:8" ht="19.5" customHeight="1" x14ac:dyDescent="0.3">
      <c r="A26" s="5"/>
      <c r="B26" s="20" t="s">
        <v>31</v>
      </c>
      <c r="C26" s="17">
        <f>100*3</f>
        <v>300</v>
      </c>
      <c r="D26" s="8"/>
      <c r="E26" s="8"/>
      <c r="G26" s="22"/>
    </row>
    <row r="27" spans="1:8" ht="19.5" customHeight="1" x14ac:dyDescent="0.3">
      <c r="A27" s="5"/>
      <c r="B27" s="20" t="s">
        <v>28</v>
      </c>
      <c r="C27" s="17">
        <f>50*3</f>
        <v>150</v>
      </c>
      <c r="D27" s="8"/>
      <c r="E27" s="8"/>
      <c r="F27" s="21"/>
      <c r="G27" s="21"/>
    </row>
    <row r="28" spans="1:8" ht="19.5" customHeight="1" x14ac:dyDescent="0.3">
      <c r="A28" s="5"/>
      <c r="B28" s="16"/>
      <c r="C28" s="17"/>
      <c r="D28" s="8"/>
      <c r="E28" s="8"/>
      <c r="F28" s="21"/>
      <c r="G28" s="21"/>
    </row>
    <row r="29" spans="1:8" ht="19.5" customHeight="1" x14ac:dyDescent="0.3">
      <c r="A29" s="5"/>
      <c r="B29" s="9" t="s">
        <v>14</v>
      </c>
      <c r="C29" s="25">
        <f>2329950+165800+50000</f>
        <v>2545750</v>
      </c>
      <c r="D29" s="8"/>
      <c r="E29" s="8"/>
    </row>
    <row r="30" spans="1:8" ht="19.5" customHeight="1" x14ac:dyDescent="0.3">
      <c r="A30" s="5"/>
      <c r="B30" s="9" t="s">
        <v>15</v>
      </c>
      <c r="C30" s="23">
        <f>4500000+400000+200000+4800000+265000+900000+4800000</f>
        <v>15865000</v>
      </c>
      <c r="D30" s="8"/>
      <c r="E30" s="8"/>
      <c r="F30" s="21"/>
      <c r="H30" s="21"/>
    </row>
    <row r="31" spans="1:8" ht="19.5" customHeight="1" x14ac:dyDescent="0.3">
      <c r="A31" s="5"/>
      <c r="B31" s="9" t="s">
        <v>16</v>
      </c>
      <c r="C31" s="24">
        <f>19200+13250+25000+12500+94500+357200+72500+213000+36750+87200</f>
        <v>931100</v>
      </c>
      <c r="D31" s="8"/>
      <c r="E31" s="8"/>
    </row>
    <row r="32" spans="1:8" ht="19.5" customHeight="1" x14ac:dyDescent="0.3">
      <c r="A32" s="5"/>
      <c r="B32" s="9" t="s">
        <v>21</v>
      </c>
      <c r="C32" s="24">
        <f>33000+18000+8000+8500+38000+12000+50000</f>
        <v>167500</v>
      </c>
      <c r="D32" s="8"/>
      <c r="E32" s="8"/>
      <c r="F32" s="12" t="s">
        <v>17</v>
      </c>
      <c r="G32" s="13">
        <f>C21+C22+C24+C25+C28+C27+C23+C26+C33</f>
        <v>1656650</v>
      </c>
    </row>
    <row r="33" spans="1:10" ht="19.5" customHeight="1" x14ac:dyDescent="0.3">
      <c r="A33" s="5"/>
      <c r="B33" s="16" t="s">
        <v>18</v>
      </c>
      <c r="C33" s="20">
        <v>103000</v>
      </c>
      <c r="D33" s="8"/>
      <c r="E33" s="8"/>
      <c r="F33" s="12" t="s">
        <v>19</v>
      </c>
      <c r="G33" s="13">
        <f>C29+C30+C31+C32</f>
        <v>19509350</v>
      </c>
      <c r="J33" s="21"/>
    </row>
    <row r="34" spans="1:10" ht="19.5" customHeight="1" x14ac:dyDescent="0.25">
      <c r="A34" s="5"/>
      <c r="B34" s="121" t="s">
        <v>20</v>
      </c>
      <c r="C34" s="123">
        <f>SUM(C21:C33)</f>
        <v>21166000</v>
      </c>
      <c r="D34" s="121" t="s">
        <v>20</v>
      </c>
      <c r="E34" s="125">
        <f>SUM(E22:E32)</f>
        <v>0</v>
      </c>
      <c r="F34" s="14"/>
      <c r="G34" s="11">
        <f>SUM(G32:G33)</f>
        <v>21166000</v>
      </c>
      <c r="J34" s="21"/>
    </row>
    <row r="35" spans="1:10" ht="19.5" customHeight="1" x14ac:dyDescent="0.25">
      <c r="A35" s="5"/>
      <c r="B35" s="122"/>
      <c r="C35" s="124"/>
      <c r="D35" s="122"/>
      <c r="E35" s="126"/>
      <c r="G35" s="21" t="e">
        <f>C36-G34</f>
        <v>#REF!</v>
      </c>
      <c r="J35" s="21"/>
    </row>
    <row r="36" spans="1:10" ht="19.5" customHeight="1" x14ac:dyDescent="0.25">
      <c r="C36" s="19" t="e">
        <f>'Cash Report '!#REF!</f>
        <v>#REF!</v>
      </c>
      <c r="E36" s="10"/>
      <c r="J36" s="21"/>
    </row>
    <row r="37" spans="1:10" ht="19.5" customHeight="1" x14ac:dyDescent="0.25">
      <c r="C37" s="15" t="e">
        <f>C34-C36</f>
        <v>#REF!</v>
      </c>
      <c r="I37" s="21"/>
      <c r="J37" s="21"/>
    </row>
    <row r="40" spans="1:10" ht="19.5" customHeight="1" x14ac:dyDescent="0.3">
      <c r="A40" s="18" t="s">
        <v>33</v>
      </c>
      <c r="B40" s="5"/>
      <c r="C40" s="6" t="s">
        <v>12</v>
      </c>
      <c r="D40" s="6"/>
      <c r="E40" s="6" t="s">
        <v>13</v>
      </c>
    </row>
    <row r="41" spans="1:10" ht="19.5" customHeight="1" x14ac:dyDescent="0.3">
      <c r="A41" s="7"/>
      <c r="B41" s="20" t="s">
        <v>34</v>
      </c>
      <c r="C41" s="17">
        <f>10000*27</f>
        <v>270000</v>
      </c>
      <c r="D41" s="8"/>
      <c r="E41" s="8"/>
    </row>
    <row r="42" spans="1:10" ht="19.5" customHeight="1" x14ac:dyDescent="0.3">
      <c r="A42" s="5"/>
      <c r="B42" s="20" t="s">
        <v>30</v>
      </c>
      <c r="C42" s="17">
        <f>5000*112</f>
        <v>560000</v>
      </c>
      <c r="D42" s="8"/>
      <c r="E42" s="8"/>
    </row>
    <row r="43" spans="1:10" ht="19.5" customHeight="1" x14ac:dyDescent="0.3">
      <c r="A43" s="5"/>
      <c r="B43" s="20" t="s">
        <v>38</v>
      </c>
      <c r="C43" s="17">
        <f>1000*362</f>
        <v>362000</v>
      </c>
      <c r="D43" s="8"/>
      <c r="E43" s="8"/>
    </row>
    <row r="44" spans="1:10" ht="19.5" customHeight="1" x14ac:dyDescent="0.3">
      <c r="A44" s="5"/>
      <c r="B44" s="20" t="s">
        <v>35</v>
      </c>
      <c r="C44" s="17">
        <f>500*5</f>
        <v>2500</v>
      </c>
      <c r="D44" s="8"/>
      <c r="E44" s="8"/>
      <c r="G44" s="21"/>
    </row>
    <row r="45" spans="1:10" ht="19.5" customHeight="1" x14ac:dyDescent="0.3">
      <c r="A45" s="5"/>
      <c r="B45" s="20" t="s">
        <v>36</v>
      </c>
      <c r="C45" s="17">
        <f>200*7</f>
        <v>1400</v>
      </c>
      <c r="D45" s="8"/>
      <c r="E45" s="8"/>
    </row>
    <row r="46" spans="1:10" ht="19.5" customHeight="1" x14ac:dyDescent="0.3">
      <c r="A46" s="5"/>
      <c r="B46" s="20" t="s">
        <v>37</v>
      </c>
      <c r="C46" s="17">
        <f>100*6</f>
        <v>600</v>
      </c>
      <c r="D46" s="8"/>
      <c r="E46" s="8"/>
      <c r="G46" s="22"/>
    </row>
    <row r="47" spans="1:10" ht="19.5" customHeight="1" x14ac:dyDescent="0.3">
      <c r="A47" s="5"/>
      <c r="B47" s="20" t="s">
        <v>28</v>
      </c>
      <c r="C47" s="17">
        <f>50*3</f>
        <v>150</v>
      </c>
      <c r="D47" s="8"/>
      <c r="E47" s="8"/>
      <c r="F47" s="21"/>
      <c r="G47" s="21"/>
    </row>
    <row r="48" spans="1:10" ht="19.5" customHeight="1" x14ac:dyDescent="0.3">
      <c r="A48" s="5"/>
      <c r="B48" s="16"/>
      <c r="C48" s="17"/>
      <c r="D48" s="8"/>
      <c r="E48" s="8"/>
      <c r="F48" s="21"/>
      <c r="G48" s="21"/>
    </row>
    <row r="49" spans="1:7" ht="19.5" customHeight="1" x14ac:dyDescent="0.3">
      <c r="A49" s="5"/>
      <c r="B49" s="9" t="s">
        <v>14</v>
      </c>
      <c r="C49" s="25">
        <f>2329950+165800+50000</f>
        <v>2545750</v>
      </c>
      <c r="D49" s="8"/>
      <c r="E49" s="8"/>
    </row>
    <row r="50" spans="1:7" ht="19.5" customHeight="1" x14ac:dyDescent="0.3">
      <c r="A50" s="5"/>
      <c r="B50" s="9" t="s">
        <v>15</v>
      </c>
      <c r="C50" s="23"/>
      <c r="D50" s="8"/>
      <c r="E50" s="8"/>
      <c r="F50" s="21"/>
    </row>
    <row r="51" spans="1:7" ht="19.5" customHeight="1" x14ac:dyDescent="0.3">
      <c r="A51" s="5"/>
      <c r="B51" s="9" t="s">
        <v>16</v>
      </c>
      <c r="C51" s="24"/>
      <c r="D51" s="8"/>
      <c r="E51" s="8"/>
    </row>
    <row r="52" spans="1:7" ht="19.5" customHeight="1" x14ac:dyDescent="0.3">
      <c r="A52" s="5"/>
      <c r="B52" s="9" t="s">
        <v>21</v>
      </c>
      <c r="C52" s="24"/>
      <c r="D52" s="8"/>
      <c r="E52" s="8"/>
      <c r="F52" s="12" t="s">
        <v>17</v>
      </c>
      <c r="G52" s="13">
        <f>C41+C42+C44+C45+C48+C47+C43+C46+C53</f>
        <v>1196650</v>
      </c>
    </row>
    <row r="53" spans="1:7" ht="19.5" customHeight="1" x14ac:dyDescent="0.3">
      <c r="A53" s="5"/>
      <c r="B53" s="16" t="s">
        <v>18</v>
      </c>
      <c r="C53" s="20"/>
      <c r="D53" s="8"/>
      <c r="E53" s="8"/>
      <c r="F53" s="12" t="s">
        <v>19</v>
      </c>
      <c r="G53" s="13">
        <f>C49+C50+C51+C52</f>
        <v>2545750</v>
      </c>
    </row>
    <row r="54" spans="1:7" ht="19.5" customHeight="1" x14ac:dyDescent="0.25">
      <c r="A54" s="5"/>
      <c r="B54" s="121" t="s">
        <v>20</v>
      </c>
      <c r="C54" s="123">
        <f>SUM(C41:C53)</f>
        <v>3742400</v>
      </c>
      <c r="D54" s="121" t="s">
        <v>20</v>
      </c>
      <c r="E54" s="125">
        <f>SUM(E42:E52)</f>
        <v>0</v>
      </c>
      <c r="F54" s="14"/>
      <c r="G54" s="11">
        <f>SUM(G52:G53)</f>
        <v>3742400</v>
      </c>
    </row>
    <row r="55" spans="1:7" ht="19.5" customHeight="1" x14ac:dyDescent="0.25">
      <c r="A55" s="5"/>
      <c r="B55" s="122"/>
      <c r="C55" s="124"/>
      <c r="D55" s="122"/>
      <c r="E55" s="126"/>
      <c r="G55" s="21" t="e">
        <f>C56-G54</f>
        <v>#REF!</v>
      </c>
    </row>
    <row r="56" spans="1:7" ht="19.5" customHeight="1" x14ac:dyDescent="0.25">
      <c r="C56" s="19" t="e">
        <f>'Cash Report '!#REF!</f>
        <v>#REF!</v>
      </c>
      <c r="E56" s="10"/>
    </row>
    <row r="57" spans="1:7" ht="19.5" customHeight="1" x14ac:dyDescent="0.25">
      <c r="C57" s="15" t="e">
        <f>C54-C56</f>
        <v>#REF!</v>
      </c>
    </row>
    <row r="60" spans="1:7" ht="19.5" customHeight="1" x14ac:dyDescent="0.3">
      <c r="A60" s="18" t="s">
        <v>39</v>
      </c>
      <c r="B60" s="5"/>
      <c r="C60" s="6" t="s">
        <v>12</v>
      </c>
      <c r="D60" s="6"/>
      <c r="E60" s="6" t="s">
        <v>13</v>
      </c>
    </row>
    <row r="61" spans="1:7" ht="19.5" customHeight="1" x14ac:dyDescent="0.3">
      <c r="A61" s="7"/>
      <c r="B61" s="27" t="s">
        <v>34</v>
      </c>
      <c r="C61" s="17">
        <f>10000*27</f>
        <v>270000</v>
      </c>
      <c r="D61" s="8"/>
      <c r="E61" s="8"/>
      <c r="F61" t="s">
        <v>34</v>
      </c>
      <c r="G61">
        <f>10000*27</f>
        <v>270000</v>
      </c>
    </row>
    <row r="62" spans="1:7" ht="19.5" customHeight="1" x14ac:dyDescent="0.3">
      <c r="A62" s="5"/>
      <c r="B62" s="27" t="s">
        <v>30</v>
      </c>
      <c r="C62" s="17">
        <f>5000*112</f>
        <v>560000</v>
      </c>
      <c r="D62" s="8"/>
      <c r="E62" s="8"/>
      <c r="F62" t="s">
        <v>30</v>
      </c>
      <c r="G62">
        <f>5000*112</f>
        <v>560000</v>
      </c>
    </row>
    <row r="63" spans="1:7" ht="19.5" customHeight="1" x14ac:dyDescent="0.3">
      <c r="A63" s="5"/>
      <c r="B63" s="20" t="s">
        <v>38</v>
      </c>
      <c r="C63" s="17">
        <f>1000*362</f>
        <v>362000</v>
      </c>
      <c r="D63" s="8"/>
      <c r="E63" s="8"/>
      <c r="F63" t="s">
        <v>42</v>
      </c>
      <c r="G63">
        <f>1000*360</f>
        <v>360000</v>
      </c>
    </row>
    <row r="64" spans="1:7" ht="19.5" customHeight="1" x14ac:dyDescent="0.3">
      <c r="A64" s="5"/>
      <c r="B64" s="20" t="s">
        <v>35</v>
      </c>
      <c r="C64" s="17">
        <f>500*5</f>
        <v>2500</v>
      </c>
      <c r="D64" s="8"/>
      <c r="E64" s="8"/>
      <c r="F64" t="s">
        <v>43</v>
      </c>
      <c r="G64" s="21">
        <f>500*3</f>
        <v>1500</v>
      </c>
    </row>
    <row r="65" spans="1:7" ht="19.5" customHeight="1" x14ac:dyDescent="0.3">
      <c r="A65" s="5"/>
      <c r="B65" s="20" t="s">
        <v>36</v>
      </c>
      <c r="C65" s="17">
        <f>200*7</f>
        <v>1400</v>
      </c>
      <c r="D65" s="8"/>
      <c r="E65" s="8"/>
      <c r="F65" t="s">
        <v>44</v>
      </c>
      <c r="G65">
        <f>200*11</f>
        <v>2200</v>
      </c>
    </row>
    <row r="66" spans="1:7" ht="19.5" customHeight="1" x14ac:dyDescent="0.3">
      <c r="A66" s="5"/>
      <c r="B66" s="20" t="s">
        <v>37</v>
      </c>
      <c r="C66" s="17">
        <f>100*6</f>
        <v>600</v>
      </c>
      <c r="D66" s="8"/>
      <c r="E66" s="8"/>
      <c r="F66" t="s">
        <v>45</v>
      </c>
      <c r="G66" s="22">
        <f>100*26</f>
        <v>2600</v>
      </c>
    </row>
    <row r="67" spans="1:7" ht="19.5" customHeight="1" x14ac:dyDescent="0.3">
      <c r="A67" s="5"/>
      <c r="B67" s="20" t="s">
        <v>28</v>
      </c>
      <c r="C67" s="17">
        <f>50*3</f>
        <v>150</v>
      </c>
      <c r="D67" s="8"/>
      <c r="E67" s="8"/>
      <c r="F67" s="21" t="s">
        <v>46</v>
      </c>
      <c r="G67" s="21">
        <f>50*7</f>
        <v>350</v>
      </c>
    </row>
    <row r="68" spans="1:7" ht="19.5" customHeight="1" x14ac:dyDescent="0.3">
      <c r="A68" s="5"/>
      <c r="B68" s="16"/>
      <c r="C68" s="17"/>
      <c r="D68" s="8"/>
      <c r="E68" s="8"/>
      <c r="F68" s="21"/>
      <c r="G68" s="21"/>
    </row>
    <row r="69" spans="1:7" ht="19.5" customHeight="1" x14ac:dyDescent="0.3">
      <c r="A69" s="5"/>
      <c r="B69" s="9" t="s">
        <v>14</v>
      </c>
      <c r="C69" s="26">
        <f>2329950+165800+50000+420900</f>
        <v>2966650</v>
      </c>
      <c r="D69" s="8"/>
      <c r="E69" s="8"/>
      <c r="F69" t="s">
        <v>47</v>
      </c>
      <c r="G69" s="28">
        <f>SUM(G61:G68)</f>
        <v>1196650</v>
      </c>
    </row>
    <row r="70" spans="1:7" ht="19.5" customHeight="1" x14ac:dyDescent="0.3">
      <c r="A70" s="5"/>
      <c r="B70" s="9" t="s">
        <v>15</v>
      </c>
      <c r="C70" s="25">
        <v>550000</v>
      </c>
      <c r="D70" s="8" t="s">
        <v>41</v>
      </c>
      <c r="E70" s="8"/>
      <c r="F70" s="21"/>
    </row>
    <row r="71" spans="1:7" ht="19.5" customHeight="1" x14ac:dyDescent="0.3">
      <c r="A71" s="5"/>
      <c r="B71" s="9" t="s">
        <v>16</v>
      </c>
      <c r="C71" s="25">
        <f>72100+44900</f>
        <v>117000</v>
      </c>
      <c r="D71" s="8"/>
      <c r="E71" s="8"/>
    </row>
    <row r="72" spans="1:7" ht="19.5" customHeight="1" x14ac:dyDescent="0.3">
      <c r="A72" s="5"/>
      <c r="B72" s="9" t="s">
        <v>21</v>
      </c>
      <c r="C72" s="25">
        <v>3000</v>
      </c>
      <c r="D72" s="8"/>
      <c r="E72" s="8"/>
      <c r="F72" s="12" t="s">
        <v>17</v>
      </c>
      <c r="G72" s="13">
        <f>C61+C62+C64+C65+C68+C67+C63+C66+C73</f>
        <v>1196650</v>
      </c>
    </row>
    <row r="73" spans="1:7" ht="19.5" customHeight="1" x14ac:dyDescent="0.3">
      <c r="A73" s="5"/>
      <c r="B73" s="16" t="s">
        <v>18</v>
      </c>
      <c r="C73" s="20"/>
      <c r="D73" s="8"/>
      <c r="E73" s="8"/>
      <c r="F73" s="12" t="s">
        <v>19</v>
      </c>
      <c r="G73" s="13">
        <f>C69+C70+C71+C72</f>
        <v>3636650</v>
      </c>
    </row>
    <row r="74" spans="1:7" ht="19.5" customHeight="1" x14ac:dyDescent="0.25">
      <c r="A74" s="5"/>
      <c r="B74" s="121" t="s">
        <v>20</v>
      </c>
      <c r="C74" s="123">
        <f>SUM(C61:C73)</f>
        <v>4833300</v>
      </c>
      <c r="D74" s="121" t="s">
        <v>20</v>
      </c>
      <c r="E74" s="125">
        <f>SUM(E62:E72)</f>
        <v>0</v>
      </c>
      <c r="F74" s="14"/>
      <c r="G74" s="11">
        <f>SUM(G72:G73)</f>
        <v>4833300</v>
      </c>
    </row>
    <row r="75" spans="1:7" ht="19.5" customHeight="1" x14ac:dyDescent="0.25">
      <c r="A75" s="5"/>
      <c r="B75" s="122"/>
      <c r="C75" s="124"/>
      <c r="D75" s="122"/>
      <c r="E75" s="126"/>
      <c r="G75" s="21" t="e">
        <f>C76-G74</f>
        <v>#REF!</v>
      </c>
    </row>
    <row r="76" spans="1:7" ht="19.5" customHeight="1" x14ac:dyDescent="0.25">
      <c r="C76" s="19" t="e">
        <f>'Cash Report '!#REF!</f>
        <v>#REF!</v>
      </c>
      <c r="E76" s="10"/>
    </row>
    <row r="77" spans="1:7" ht="19.5" customHeight="1" x14ac:dyDescent="0.25">
      <c r="C77" s="15" t="e">
        <f>C74-C76</f>
        <v>#REF!</v>
      </c>
    </row>
    <row r="78" spans="1:7" ht="19.5" customHeight="1" x14ac:dyDescent="0.3">
      <c r="A78" s="18" t="s">
        <v>40</v>
      </c>
      <c r="B78" s="5"/>
      <c r="C78" s="6" t="s">
        <v>12</v>
      </c>
      <c r="D78" s="6"/>
      <c r="E78" s="6" t="s">
        <v>13</v>
      </c>
    </row>
    <row r="79" spans="1:7" ht="19.5" customHeight="1" x14ac:dyDescent="0.3">
      <c r="A79" s="7"/>
      <c r="B79" s="20"/>
      <c r="C79" s="17"/>
      <c r="D79" s="8"/>
      <c r="E79" s="8"/>
    </row>
    <row r="80" spans="1:7" ht="19.5" customHeight="1" x14ac:dyDescent="0.3">
      <c r="A80" s="5"/>
      <c r="B80" s="20" t="s">
        <v>48</v>
      </c>
      <c r="C80" s="17">
        <f>10000*17</f>
        <v>170000</v>
      </c>
      <c r="D80" s="8"/>
      <c r="E80" s="8"/>
    </row>
    <row r="81" spans="1:7" ht="19.5" customHeight="1" x14ac:dyDescent="0.3">
      <c r="A81" s="5"/>
      <c r="B81" s="20" t="s">
        <v>30</v>
      </c>
      <c r="C81" s="17">
        <f>5000*112</f>
        <v>560000</v>
      </c>
      <c r="D81" s="8"/>
      <c r="E81" s="8"/>
    </row>
    <row r="82" spans="1:7" ht="19.5" customHeight="1" x14ac:dyDescent="0.3">
      <c r="A82" s="5"/>
      <c r="B82" s="20" t="s">
        <v>49</v>
      </c>
      <c r="C82" s="17">
        <f>1000*48</f>
        <v>48000</v>
      </c>
      <c r="D82" s="8"/>
      <c r="E82" s="8"/>
      <c r="G82" s="21"/>
    </row>
    <row r="83" spans="1:7" ht="19.5" customHeight="1" x14ac:dyDescent="0.3">
      <c r="A83" s="5"/>
      <c r="B83" s="20" t="s">
        <v>43</v>
      </c>
      <c r="C83" s="17">
        <f>500*3</f>
        <v>1500</v>
      </c>
      <c r="D83" s="8"/>
      <c r="E83" s="8"/>
    </row>
    <row r="84" spans="1:7" ht="19.5" customHeight="1" x14ac:dyDescent="0.3">
      <c r="A84" s="5"/>
      <c r="B84" s="20" t="s">
        <v>44</v>
      </c>
      <c r="C84" s="17">
        <f>200*11</f>
        <v>2200</v>
      </c>
      <c r="D84" s="8"/>
      <c r="E84" s="8"/>
      <c r="G84" s="22"/>
    </row>
    <row r="85" spans="1:7" ht="19.5" customHeight="1" x14ac:dyDescent="0.3">
      <c r="A85" s="5"/>
      <c r="B85" s="20" t="s">
        <v>50</v>
      </c>
      <c r="C85" s="17">
        <f>100*24</f>
        <v>2400</v>
      </c>
      <c r="D85" s="8"/>
      <c r="E85" s="8"/>
      <c r="F85" s="21"/>
      <c r="G85" s="21"/>
    </row>
    <row r="86" spans="1:7" ht="19.5" customHeight="1" x14ac:dyDescent="0.3">
      <c r="A86" s="5"/>
      <c r="B86" s="16" t="s">
        <v>28</v>
      </c>
      <c r="C86" s="17">
        <f>50*3</f>
        <v>150</v>
      </c>
      <c r="D86" s="8"/>
      <c r="E86" s="8"/>
      <c r="F86" s="21"/>
      <c r="G86" s="21"/>
    </row>
    <row r="87" spans="1:7" ht="19.5" customHeight="1" x14ac:dyDescent="0.3">
      <c r="A87" s="5"/>
      <c r="B87" s="16" t="s">
        <v>51</v>
      </c>
      <c r="C87" s="17">
        <v>4430000</v>
      </c>
      <c r="D87" s="8"/>
      <c r="E87" s="8"/>
      <c r="F87" s="21"/>
      <c r="G87" s="21"/>
    </row>
    <row r="88" spans="1:7" ht="19.5" customHeight="1" x14ac:dyDescent="0.3">
      <c r="A88" s="5"/>
      <c r="B88" s="9" t="s">
        <v>14</v>
      </c>
      <c r="C88" s="26">
        <v>255850</v>
      </c>
      <c r="D88" s="8"/>
      <c r="E88" s="8"/>
    </row>
    <row r="89" spans="1:7" ht="19.5" customHeight="1" x14ac:dyDescent="0.3">
      <c r="A89" s="5"/>
      <c r="B89" s="9" t="s">
        <v>15</v>
      </c>
      <c r="C89" s="26">
        <v>550000</v>
      </c>
      <c r="D89" s="8" t="s">
        <v>52</v>
      </c>
      <c r="E89" s="8"/>
      <c r="F89" s="21"/>
    </row>
    <row r="90" spans="1:7" ht="19.5" customHeight="1" x14ac:dyDescent="0.3">
      <c r="A90" s="5"/>
      <c r="B90" s="9" t="s">
        <v>16</v>
      </c>
      <c r="C90" s="26">
        <v>117000</v>
      </c>
      <c r="D90" s="8"/>
      <c r="E90" s="8"/>
    </row>
    <row r="91" spans="1:7" ht="19.5" customHeight="1" x14ac:dyDescent="0.3">
      <c r="A91" s="5"/>
      <c r="B91" s="9" t="s">
        <v>21</v>
      </c>
      <c r="C91" s="26">
        <v>3000</v>
      </c>
      <c r="D91" s="8"/>
      <c r="E91" s="8"/>
      <c r="F91" s="12" t="s">
        <v>17</v>
      </c>
      <c r="G91" s="13">
        <f>C79+C80+C82+C83+C86+C85+C81+C84+C92</f>
        <v>784250</v>
      </c>
    </row>
    <row r="92" spans="1:7" ht="19.5" customHeight="1" x14ac:dyDescent="0.3">
      <c r="A92" s="5"/>
      <c r="B92" s="16" t="s">
        <v>18</v>
      </c>
      <c r="C92" s="20"/>
      <c r="D92" s="8"/>
      <c r="E92" s="8"/>
      <c r="F92" s="12" t="s">
        <v>19</v>
      </c>
      <c r="G92" s="13">
        <f>C88+C89+C90+C91+C87</f>
        <v>5355850</v>
      </c>
    </row>
    <row r="93" spans="1:7" ht="19.5" customHeight="1" x14ac:dyDescent="0.25">
      <c r="A93" s="5"/>
      <c r="B93" s="121" t="s">
        <v>20</v>
      </c>
      <c r="C93" s="123">
        <f>SUM(C79:C92)</f>
        <v>6140100</v>
      </c>
      <c r="D93" s="121" t="s">
        <v>20</v>
      </c>
      <c r="E93" s="125">
        <f>SUM(E80:E91)</f>
        <v>0</v>
      </c>
      <c r="F93" s="14"/>
      <c r="G93" s="11"/>
    </row>
    <row r="94" spans="1:7" ht="19.5" customHeight="1" x14ac:dyDescent="0.25">
      <c r="A94" s="5"/>
      <c r="B94" s="122"/>
      <c r="C94" s="124"/>
      <c r="D94" s="122"/>
      <c r="E94" s="126"/>
      <c r="G94" s="21"/>
    </row>
    <row r="95" spans="1:7" ht="19.5" customHeight="1" x14ac:dyDescent="0.3">
      <c r="C95" s="29">
        <v>-7</v>
      </c>
    </row>
    <row r="97" spans="1:7" ht="19.5" customHeight="1" x14ac:dyDescent="0.3">
      <c r="A97" s="18" t="s">
        <v>53</v>
      </c>
      <c r="B97" s="5"/>
      <c r="C97" s="6" t="s">
        <v>12</v>
      </c>
      <c r="D97" s="6"/>
      <c r="E97" s="6" t="s">
        <v>13</v>
      </c>
    </row>
    <row r="98" spans="1:7" ht="19.5" customHeight="1" x14ac:dyDescent="0.3">
      <c r="A98" s="7"/>
      <c r="B98" s="20"/>
      <c r="C98" s="17"/>
      <c r="D98" s="8"/>
      <c r="E98" s="8"/>
    </row>
    <row r="99" spans="1:7" ht="19.5" customHeight="1" x14ac:dyDescent="0.3">
      <c r="A99" s="5"/>
      <c r="B99" s="20" t="s">
        <v>48</v>
      </c>
      <c r="C99" s="17">
        <f>10000*17</f>
        <v>170000</v>
      </c>
      <c r="D99" s="8"/>
      <c r="E99" s="8"/>
    </row>
    <row r="100" spans="1:7" ht="19.5" customHeight="1" x14ac:dyDescent="0.3">
      <c r="A100" s="5"/>
      <c r="B100" s="20" t="s">
        <v>54</v>
      </c>
      <c r="C100" s="17">
        <f>5000*100</f>
        <v>500000</v>
      </c>
      <c r="D100" s="8"/>
      <c r="E100" s="8"/>
    </row>
    <row r="101" spans="1:7" ht="19.5" customHeight="1" x14ac:dyDescent="0.3">
      <c r="A101" s="5"/>
      <c r="B101" s="20" t="s">
        <v>55</v>
      </c>
      <c r="C101" s="17">
        <f>1000*10</f>
        <v>10000</v>
      </c>
      <c r="D101" s="8"/>
      <c r="E101" s="8"/>
      <c r="G101" s="21"/>
    </row>
    <row r="102" spans="1:7" ht="19.5" customHeight="1" x14ac:dyDescent="0.3">
      <c r="A102" s="5"/>
      <c r="B102" s="20" t="s">
        <v>56</v>
      </c>
      <c r="C102" s="17">
        <f>500*1</f>
        <v>500</v>
      </c>
      <c r="D102" s="8"/>
      <c r="E102" s="8"/>
    </row>
    <row r="103" spans="1:7" ht="19.5" customHeight="1" x14ac:dyDescent="0.3">
      <c r="A103" s="5"/>
      <c r="B103" s="20" t="s">
        <v>57</v>
      </c>
      <c r="C103" s="17">
        <f>200*8</f>
        <v>1600</v>
      </c>
      <c r="D103" s="8"/>
      <c r="E103" s="8"/>
      <c r="G103" s="22"/>
    </row>
    <row r="104" spans="1:7" ht="19.5" customHeight="1" x14ac:dyDescent="0.3">
      <c r="A104" s="5"/>
      <c r="B104" s="20" t="s">
        <v>59</v>
      </c>
      <c r="C104" s="17">
        <f>100*21</f>
        <v>2100</v>
      </c>
      <c r="D104" s="8"/>
      <c r="E104" s="8"/>
      <c r="F104" s="21"/>
      <c r="G104" s="21"/>
    </row>
    <row r="105" spans="1:7" ht="19.5" customHeight="1" x14ac:dyDescent="0.3">
      <c r="A105" s="5"/>
      <c r="B105" s="16" t="s">
        <v>58</v>
      </c>
      <c r="C105" s="17">
        <f>50*1</f>
        <v>50</v>
      </c>
      <c r="D105" s="8"/>
      <c r="E105" s="8"/>
      <c r="F105" s="21"/>
      <c r="G105" s="21"/>
    </row>
    <row r="106" spans="1:7" ht="19.5" customHeight="1" x14ac:dyDescent="0.3">
      <c r="A106" s="5"/>
      <c r="B106" s="16" t="s">
        <v>51</v>
      </c>
      <c r="C106" s="17">
        <v>4430000</v>
      </c>
      <c r="D106" s="8"/>
      <c r="E106" s="8"/>
      <c r="F106" s="21"/>
      <c r="G106" s="21"/>
    </row>
    <row r="107" spans="1:7" ht="19.5" customHeight="1" x14ac:dyDescent="0.3">
      <c r="A107" s="5"/>
      <c r="B107" s="9" t="s">
        <v>14</v>
      </c>
      <c r="C107" s="26">
        <f>255850+150000+244750</f>
        <v>650600</v>
      </c>
      <c r="D107" s="8"/>
      <c r="E107" s="8"/>
    </row>
    <row r="108" spans="1:7" ht="19.5" customHeight="1" x14ac:dyDescent="0.3">
      <c r="A108" s="5"/>
      <c r="B108" s="9" t="s">
        <v>15</v>
      </c>
      <c r="C108" s="26">
        <v>550000</v>
      </c>
      <c r="D108" s="8" t="s">
        <v>52</v>
      </c>
      <c r="E108" s="8"/>
      <c r="F108" s="21"/>
    </row>
    <row r="109" spans="1:7" ht="19.5" customHeight="1" x14ac:dyDescent="0.3">
      <c r="A109" s="5"/>
      <c r="B109" s="9" t="s">
        <v>16</v>
      </c>
      <c r="C109" s="26">
        <v>117000</v>
      </c>
      <c r="D109" s="8"/>
      <c r="E109" s="8"/>
    </row>
    <row r="110" spans="1:7" ht="19.5" customHeight="1" x14ac:dyDescent="0.3">
      <c r="A110" s="5"/>
      <c r="B110" s="9" t="s">
        <v>21</v>
      </c>
      <c r="C110" s="26">
        <v>3000</v>
      </c>
      <c r="D110" s="8"/>
      <c r="E110" s="8"/>
      <c r="F110" s="12" t="s">
        <v>17</v>
      </c>
      <c r="G110" s="13">
        <f>C98+C99+C101+C102+C105+C104+C100+C103+C111</f>
        <v>684250</v>
      </c>
    </row>
    <row r="111" spans="1:7" ht="19.5" customHeight="1" x14ac:dyDescent="0.3">
      <c r="A111" s="5"/>
      <c r="B111" s="16" t="s">
        <v>18</v>
      </c>
      <c r="C111" s="20"/>
      <c r="D111" s="8"/>
      <c r="E111" s="8"/>
      <c r="F111" s="12" t="s">
        <v>19</v>
      </c>
      <c r="G111" s="13">
        <f>C107+C108+C109+C110+C106</f>
        <v>5750600</v>
      </c>
    </row>
    <row r="112" spans="1:7" ht="19.5" customHeight="1" x14ac:dyDescent="0.25">
      <c r="A112" s="5"/>
      <c r="B112" s="121" t="s">
        <v>20</v>
      </c>
      <c r="C112" s="123">
        <f>SUM(C98:C111)</f>
        <v>6434850</v>
      </c>
      <c r="D112" s="121" t="s">
        <v>20</v>
      </c>
      <c r="E112" s="125">
        <f>SUM(E99:E110)</f>
        <v>0</v>
      </c>
      <c r="F112" s="14"/>
      <c r="G112" s="11"/>
    </row>
    <row r="113" spans="1:7" ht="19.5" customHeight="1" x14ac:dyDescent="0.25">
      <c r="A113" s="5"/>
      <c r="B113" s="122"/>
      <c r="C113" s="124"/>
      <c r="D113" s="122"/>
      <c r="E113" s="126"/>
      <c r="G113" s="21"/>
    </row>
    <row r="114" spans="1:7" ht="19.5" customHeight="1" x14ac:dyDescent="0.3">
      <c r="C114" s="29">
        <v>-7</v>
      </c>
    </row>
    <row r="116" spans="1:7" ht="19.5" customHeight="1" x14ac:dyDescent="0.3">
      <c r="A116" s="18" t="s">
        <v>60</v>
      </c>
      <c r="B116" s="5"/>
      <c r="C116" s="6" t="s">
        <v>12</v>
      </c>
      <c r="D116" s="6"/>
      <c r="E116" s="6" t="s">
        <v>13</v>
      </c>
    </row>
    <row r="117" spans="1:7" ht="19.5" customHeight="1" x14ac:dyDescent="0.3">
      <c r="A117" s="7"/>
      <c r="B117" s="20"/>
      <c r="C117" s="17"/>
      <c r="D117" s="8"/>
      <c r="E117" s="8"/>
    </row>
    <row r="118" spans="1:7" ht="19.5" customHeight="1" x14ac:dyDescent="0.3">
      <c r="A118" s="5"/>
      <c r="B118" s="20" t="s">
        <v>48</v>
      </c>
      <c r="C118" s="17">
        <f>10000*17</f>
        <v>170000</v>
      </c>
      <c r="D118" s="8"/>
      <c r="E118" s="8"/>
    </row>
    <row r="119" spans="1:7" ht="19.5" customHeight="1" x14ac:dyDescent="0.3">
      <c r="A119" s="5"/>
      <c r="B119" s="20" t="s">
        <v>61</v>
      </c>
      <c r="C119" s="17">
        <f>5000*101</f>
        <v>505000</v>
      </c>
      <c r="D119" s="8"/>
      <c r="E119" s="8"/>
    </row>
    <row r="120" spans="1:7" ht="19.5" customHeight="1" x14ac:dyDescent="0.3">
      <c r="A120" s="5"/>
      <c r="B120" s="20" t="s">
        <v>55</v>
      </c>
      <c r="C120" s="17">
        <f>1000*10</f>
        <v>10000</v>
      </c>
      <c r="D120" s="8"/>
      <c r="E120" s="8"/>
      <c r="G120" s="21"/>
    </row>
    <row r="121" spans="1:7" ht="19.5" customHeight="1" x14ac:dyDescent="0.3">
      <c r="A121" s="5"/>
      <c r="B121" s="20" t="s">
        <v>56</v>
      </c>
      <c r="C121" s="17">
        <f>500*1</f>
        <v>500</v>
      </c>
      <c r="D121" s="8"/>
      <c r="E121" s="8"/>
    </row>
    <row r="122" spans="1:7" ht="19.5" customHeight="1" x14ac:dyDescent="0.3">
      <c r="A122" s="5"/>
      <c r="B122" s="20" t="s">
        <v>57</v>
      </c>
      <c r="C122" s="17">
        <f>200*8</f>
        <v>1600</v>
      </c>
      <c r="D122" s="8"/>
      <c r="E122" s="8"/>
      <c r="G122" s="22"/>
    </row>
    <row r="123" spans="1:7" ht="19.5" customHeight="1" x14ac:dyDescent="0.3">
      <c r="A123" s="5"/>
      <c r="B123" s="20" t="s">
        <v>59</v>
      </c>
      <c r="C123" s="17">
        <f>100*21</f>
        <v>2100</v>
      </c>
      <c r="D123" s="8"/>
      <c r="E123" s="8"/>
      <c r="F123" s="21"/>
      <c r="G123" s="21"/>
    </row>
    <row r="124" spans="1:7" ht="19.5" customHeight="1" x14ac:dyDescent="0.3">
      <c r="A124" s="5"/>
      <c r="B124" s="16" t="s">
        <v>58</v>
      </c>
      <c r="C124" s="17">
        <f>50*1</f>
        <v>50</v>
      </c>
      <c r="D124" s="8"/>
      <c r="E124" s="8"/>
      <c r="F124" s="21"/>
      <c r="G124" s="21"/>
    </row>
    <row r="125" spans="1:7" ht="19.5" customHeight="1" x14ac:dyDescent="0.3">
      <c r="A125" s="5"/>
      <c r="B125" s="16" t="s">
        <v>51</v>
      </c>
      <c r="C125" s="17">
        <v>4430000</v>
      </c>
      <c r="D125" s="8"/>
      <c r="E125" s="8"/>
      <c r="F125" s="21"/>
      <c r="G125" s="21"/>
    </row>
    <row r="126" spans="1:7" ht="19.5" customHeight="1" x14ac:dyDescent="0.3">
      <c r="A126" s="5"/>
      <c r="B126" s="9" t="s">
        <v>14</v>
      </c>
      <c r="C126" s="26">
        <f>255850+150000+244750</f>
        <v>650600</v>
      </c>
      <c r="D126" s="8"/>
      <c r="E126" s="8"/>
    </row>
    <row r="127" spans="1:7" ht="19.5" customHeight="1" x14ac:dyDescent="0.3">
      <c r="A127" s="5"/>
      <c r="B127" s="9" t="s">
        <v>15</v>
      </c>
      <c r="C127" s="26">
        <v>550000</v>
      </c>
      <c r="D127" s="8" t="s">
        <v>52</v>
      </c>
      <c r="E127" s="8"/>
      <c r="F127" s="21"/>
    </row>
    <row r="128" spans="1:7" ht="19.5" customHeight="1" x14ac:dyDescent="0.3">
      <c r="A128" s="5"/>
      <c r="B128" s="9" t="s">
        <v>16</v>
      </c>
      <c r="C128" s="26">
        <v>117000</v>
      </c>
      <c r="D128" s="8"/>
      <c r="E128" s="8"/>
    </row>
    <row r="129" spans="1:7" ht="19.5" customHeight="1" x14ac:dyDescent="0.3">
      <c r="A129" s="5"/>
      <c r="B129" s="9" t="s">
        <v>21</v>
      </c>
      <c r="C129" s="26">
        <v>3000</v>
      </c>
      <c r="D129" s="8"/>
      <c r="E129" s="8"/>
      <c r="F129" s="12" t="s">
        <v>17</v>
      </c>
      <c r="G129" s="13">
        <f>C117+C118+C120+C121+C124+C123+C119+C122+C130</f>
        <v>689250</v>
      </c>
    </row>
    <row r="130" spans="1:7" ht="19.5" customHeight="1" x14ac:dyDescent="0.3">
      <c r="A130" s="5"/>
      <c r="B130" s="16" t="s">
        <v>18</v>
      </c>
      <c r="C130" s="20"/>
      <c r="D130" s="8"/>
      <c r="E130" s="8"/>
      <c r="F130" s="12" t="s">
        <v>19</v>
      </c>
      <c r="G130" s="13">
        <f>C126+C127+C128+C129+C125</f>
        <v>5750600</v>
      </c>
    </row>
    <row r="131" spans="1:7" ht="19.5" customHeight="1" x14ac:dyDescent="0.25">
      <c r="A131" s="5"/>
      <c r="B131" s="121" t="s">
        <v>20</v>
      </c>
      <c r="C131" s="123">
        <f>SUM(C117:C130)</f>
        <v>6439850</v>
      </c>
      <c r="D131" s="121" t="s">
        <v>20</v>
      </c>
      <c r="E131" s="125">
        <f>SUM(E118:E129)</f>
        <v>0</v>
      </c>
      <c r="F131" s="14"/>
      <c r="G131" s="11"/>
    </row>
    <row r="132" spans="1:7" ht="19.5" customHeight="1" x14ac:dyDescent="0.25">
      <c r="A132" s="5"/>
      <c r="B132" s="122"/>
      <c r="C132" s="124"/>
      <c r="D132" s="122"/>
      <c r="E132" s="126"/>
      <c r="G132" s="21"/>
    </row>
    <row r="133" spans="1:7" ht="19.5" customHeight="1" x14ac:dyDescent="0.3">
      <c r="C133" s="29">
        <v>-7</v>
      </c>
    </row>
    <row r="135" spans="1:7" ht="19.5" customHeight="1" x14ac:dyDescent="0.3">
      <c r="A135" s="18" t="s">
        <v>62</v>
      </c>
      <c r="B135" s="5"/>
      <c r="C135" s="6" t="s">
        <v>12</v>
      </c>
      <c r="D135" s="6"/>
      <c r="E135" s="6" t="s">
        <v>13</v>
      </c>
    </row>
    <row r="136" spans="1:7" ht="19.5" customHeight="1" x14ac:dyDescent="0.3">
      <c r="A136" s="7"/>
      <c r="B136" s="20" t="s">
        <v>48</v>
      </c>
      <c r="C136" s="17">
        <f>10000*17</f>
        <v>170000</v>
      </c>
      <c r="D136" s="8"/>
      <c r="E136" s="8"/>
    </row>
    <row r="137" spans="1:7" ht="19.5" customHeight="1" x14ac:dyDescent="0.3">
      <c r="A137" s="5"/>
      <c r="B137" s="20" t="s">
        <v>65</v>
      </c>
      <c r="C137" s="17">
        <f>5000*117</f>
        <v>585000</v>
      </c>
      <c r="D137" s="8"/>
      <c r="E137" s="8"/>
    </row>
    <row r="138" spans="1:7" ht="19.5" customHeight="1" x14ac:dyDescent="0.3">
      <c r="A138" s="5"/>
      <c r="B138" s="20" t="s">
        <v>66</v>
      </c>
      <c r="C138" s="17">
        <f>1000*54</f>
        <v>54000</v>
      </c>
      <c r="D138" s="8"/>
      <c r="E138" s="8"/>
    </row>
    <row r="139" spans="1:7" ht="19.5" customHeight="1" x14ac:dyDescent="0.3">
      <c r="A139" s="5"/>
      <c r="B139" s="20" t="s">
        <v>56</v>
      </c>
      <c r="C139" s="17">
        <f>500*1</f>
        <v>500</v>
      </c>
      <c r="D139" s="8"/>
      <c r="E139" s="8"/>
      <c r="G139" s="21"/>
    </row>
    <row r="140" spans="1:7" ht="19.5" customHeight="1" x14ac:dyDescent="0.3">
      <c r="A140" s="5"/>
      <c r="B140" s="20" t="s">
        <v>57</v>
      </c>
      <c r="C140" s="17">
        <f>200*8</f>
        <v>1600</v>
      </c>
      <c r="D140" s="8"/>
      <c r="E140" s="8"/>
    </row>
    <row r="141" spans="1:7" ht="19.5" customHeight="1" x14ac:dyDescent="0.3">
      <c r="A141" s="5"/>
      <c r="B141" s="20" t="s">
        <v>59</v>
      </c>
      <c r="C141" s="17">
        <f>100*21</f>
        <v>2100</v>
      </c>
      <c r="D141" s="8"/>
      <c r="E141" s="8"/>
      <c r="G141" s="22"/>
    </row>
    <row r="142" spans="1:7" ht="19.5" hidden="1" customHeight="1" x14ac:dyDescent="0.3">
      <c r="A142" s="5"/>
      <c r="B142" s="20"/>
      <c r="C142" s="17"/>
      <c r="D142" s="8"/>
      <c r="E142" s="8"/>
      <c r="F142" s="21"/>
      <c r="G142" s="21"/>
    </row>
    <row r="143" spans="1:7" ht="19.5" customHeight="1" x14ac:dyDescent="0.3">
      <c r="A143" s="5"/>
      <c r="B143" s="16" t="s">
        <v>58</v>
      </c>
      <c r="C143" s="17">
        <f>50*1</f>
        <v>50</v>
      </c>
      <c r="D143" s="8"/>
      <c r="E143" s="8"/>
      <c r="F143" s="21"/>
      <c r="G143" s="21"/>
    </row>
    <row r="144" spans="1:7" ht="19.5" customHeight="1" x14ac:dyDescent="0.3">
      <c r="A144" s="5"/>
      <c r="B144" s="16" t="s">
        <v>51</v>
      </c>
      <c r="C144" s="17">
        <v>4430000</v>
      </c>
      <c r="D144" s="8"/>
      <c r="E144" s="8"/>
      <c r="F144" s="21"/>
      <c r="G144" s="21"/>
    </row>
    <row r="145" spans="1:7" ht="19.5" customHeight="1" x14ac:dyDescent="0.3">
      <c r="A145" s="5"/>
      <c r="B145" s="9" t="s">
        <v>14</v>
      </c>
      <c r="C145" s="26">
        <f>255850+150000+244750</f>
        <v>650600</v>
      </c>
      <c r="D145" s="8"/>
      <c r="E145" s="8"/>
    </row>
    <row r="146" spans="1:7" ht="19.5" customHeight="1" x14ac:dyDescent="0.3">
      <c r="A146" s="5"/>
      <c r="B146" s="9" t="s">
        <v>15</v>
      </c>
      <c r="C146" s="26">
        <v>550000</v>
      </c>
      <c r="D146" s="8" t="s">
        <v>52</v>
      </c>
      <c r="E146" s="8"/>
      <c r="F146" s="21"/>
    </row>
    <row r="147" spans="1:7" ht="19.5" customHeight="1" x14ac:dyDescent="0.3">
      <c r="A147" s="5"/>
      <c r="B147" s="9" t="s">
        <v>16</v>
      </c>
      <c r="C147" s="26">
        <v>117000</v>
      </c>
      <c r="D147" s="8"/>
      <c r="E147" s="8"/>
    </row>
    <row r="148" spans="1:7" ht="19.5" customHeight="1" x14ac:dyDescent="0.3">
      <c r="A148" s="5"/>
      <c r="B148" s="9" t="s">
        <v>63</v>
      </c>
      <c r="C148" s="26">
        <v>100800</v>
      </c>
      <c r="D148" s="8" t="s">
        <v>64</v>
      </c>
      <c r="E148" s="8"/>
    </row>
    <row r="149" spans="1:7" ht="19.5" customHeight="1" x14ac:dyDescent="0.3">
      <c r="A149" s="5"/>
      <c r="B149" s="9" t="s">
        <v>23</v>
      </c>
      <c r="C149" s="26">
        <v>1100000</v>
      </c>
      <c r="D149" s="8" t="s">
        <v>52</v>
      </c>
      <c r="E149" s="8"/>
    </row>
    <row r="150" spans="1:7" ht="19.5" customHeight="1" x14ac:dyDescent="0.3">
      <c r="A150" s="5"/>
      <c r="B150" s="9" t="s">
        <v>21</v>
      </c>
      <c r="C150" s="26">
        <v>3000</v>
      </c>
      <c r="D150" s="8"/>
      <c r="E150" s="8"/>
      <c r="F150" s="12" t="s">
        <v>17</v>
      </c>
      <c r="G150" s="13">
        <f>C136+C137+C139+C140+C143+C142+C138+C141+C151</f>
        <v>813250</v>
      </c>
    </row>
    <row r="151" spans="1:7" ht="19.5" customHeight="1" x14ac:dyDescent="0.3">
      <c r="A151" s="5"/>
      <c r="B151" s="16" t="s">
        <v>18</v>
      </c>
      <c r="C151" s="20"/>
      <c r="D151" s="8"/>
      <c r="E151" s="8"/>
      <c r="F151" s="12" t="s">
        <v>19</v>
      </c>
      <c r="G151" s="13">
        <f>SUM(C144:C150)</f>
        <v>6951400</v>
      </c>
    </row>
    <row r="152" spans="1:7" ht="19.5" customHeight="1" x14ac:dyDescent="0.25">
      <c r="A152" s="5"/>
      <c r="B152" s="121" t="s">
        <v>20</v>
      </c>
      <c r="C152" s="123">
        <f>SUM(C136:C151)</f>
        <v>7764650</v>
      </c>
      <c r="D152" s="121" t="s">
        <v>20</v>
      </c>
      <c r="E152" s="125">
        <f>SUM(E137:E150)</f>
        <v>0</v>
      </c>
      <c r="F152" s="14"/>
      <c r="G152" s="11"/>
    </row>
    <row r="153" spans="1:7" ht="19.5" customHeight="1" x14ac:dyDescent="0.25">
      <c r="A153" s="5"/>
      <c r="B153" s="122"/>
      <c r="C153" s="124"/>
      <c r="D153" s="122"/>
      <c r="E153" s="126"/>
      <c r="G153" s="21"/>
    </row>
    <row r="154" spans="1:7" ht="19.5" customHeight="1" x14ac:dyDescent="0.3">
      <c r="C154" s="29">
        <v>-7</v>
      </c>
    </row>
    <row r="156" spans="1:7" ht="19.5" customHeight="1" x14ac:dyDescent="0.3">
      <c r="A156" s="18" t="s">
        <v>67</v>
      </c>
      <c r="B156" s="5"/>
      <c r="C156" s="6" t="s">
        <v>12</v>
      </c>
      <c r="D156" s="6"/>
      <c r="E156" s="6" t="s">
        <v>13</v>
      </c>
    </row>
    <row r="157" spans="1:7" ht="19.5" customHeight="1" x14ac:dyDescent="0.3">
      <c r="A157" s="7"/>
      <c r="B157" s="20" t="s">
        <v>48</v>
      </c>
      <c r="C157" s="17">
        <f>10000*17</f>
        <v>170000</v>
      </c>
      <c r="D157" s="8"/>
      <c r="E157" s="8"/>
    </row>
    <row r="158" spans="1:7" ht="19.5" customHeight="1" x14ac:dyDescent="0.3">
      <c r="A158" s="5"/>
      <c r="B158" s="20" t="s">
        <v>65</v>
      </c>
      <c r="C158" s="17">
        <f>5000*117</f>
        <v>585000</v>
      </c>
      <c r="D158" s="8"/>
      <c r="E158" s="8"/>
    </row>
    <row r="159" spans="1:7" ht="19.5" customHeight="1" x14ac:dyDescent="0.3">
      <c r="A159" s="5"/>
      <c r="B159" s="20" t="s">
        <v>66</v>
      </c>
      <c r="C159" s="17">
        <f>1000*54</f>
        <v>54000</v>
      </c>
      <c r="D159" s="8"/>
      <c r="E159" s="8"/>
    </row>
    <row r="160" spans="1:7" ht="19.5" customHeight="1" x14ac:dyDescent="0.3">
      <c r="A160" s="5"/>
      <c r="B160" s="20" t="s">
        <v>56</v>
      </c>
      <c r="C160" s="17">
        <f>500*1</f>
        <v>500</v>
      </c>
      <c r="D160" s="8"/>
      <c r="E160" s="8"/>
      <c r="G160" s="21"/>
    </row>
    <row r="161" spans="1:7" ht="19.5" customHeight="1" x14ac:dyDescent="0.3">
      <c r="A161" s="5"/>
      <c r="B161" s="20" t="s">
        <v>57</v>
      </c>
      <c r="C161" s="17">
        <f>200*8</f>
        <v>1600</v>
      </c>
      <c r="D161" s="8"/>
      <c r="E161" s="8"/>
    </row>
    <row r="162" spans="1:7" ht="19.5" customHeight="1" x14ac:dyDescent="0.3">
      <c r="A162" s="5"/>
      <c r="B162" s="20" t="s">
        <v>59</v>
      </c>
      <c r="C162" s="17">
        <f>100*21</f>
        <v>2100</v>
      </c>
      <c r="D162" s="8"/>
      <c r="E162" s="8"/>
      <c r="G162" s="22"/>
    </row>
    <row r="163" spans="1:7" ht="19.5" hidden="1" customHeight="1" x14ac:dyDescent="0.3">
      <c r="A163" s="5"/>
      <c r="B163" s="20"/>
      <c r="C163" s="17"/>
      <c r="D163" s="8"/>
      <c r="E163" s="8"/>
      <c r="F163" s="21"/>
      <c r="G163" s="21"/>
    </row>
    <row r="164" spans="1:7" ht="19.5" customHeight="1" x14ac:dyDescent="0.3">
      <c r="A164" s="5"/>
      <c r="B164" s="16" t="s">
        <v>58</v>
      </c>
      <c r="C164" s="17">
        <f>50*1</f>
        <v>50</v>
      </c>
      <c r="D164" s="8"/>
      <c r="E164" s="8"/>
      <c r="F164" s="21"/>
      <c r="G164" s="21"/>
    </row>
    <row r="165" spans="1:7" ht="19.5" customHeight="1" x14ac:dyDescent="0.3">
      <c r="A165" s="5"/>
      <c r="B165" s="16" t="s">
        <v>51</v>
      </c>
      <c r="C165" s="24">
        <v>4430000</v>
      </c>
      <c r="D165" s="8"/>
      <c r="E165" s="8"/>
      <c r="F165" s="21"/>
      <c r="G165" s="21"/>
    </row>
    <row r="166" spans="1:7" ht="19.5" customHeight="1" x14ac:dyDescent="0.3">
      <c r="A166" s="5"/>
      <c r="B166" s="9" t="s">
        <v>14</v>
      </c>
      <c r="C166" s="26">
        <f>255850+150000+244750</f>
        <v>650600</v>
      </c>
      <c r="D166" s="8"/>
      <c r="E166" s="8"/>
    </row>
    <row r="167" spans="1:7" ht="19.5" customHeight="1" x14ac:dyDescent="0.3">
      <c r="A167" s="5"/>
      <c r="B167" s="9" t="s">
        <v>15</v>
      </c>
      <c r="C167" s="31">
        <v>550000</v>
      </c>
      <c r="D167" s="8" t="s">
        <v>52</v>
      </c>
      <c r="E167" s="8"/>
      <c r="F167" s="21"/>
    </row>
    <row r="168" spans="1:7" ht="19.5" customHeight="1" x14ac:dyDescent="0.3">
      <c r="A168" s="5"/>
      <c r="B168" s="9" t="s">
        <v>16</v>
      </c>
      <c r="C168" s="24">
        <v>117000</v>
      </c>
      <c r="D168" s="8"/>
      <c r="E168" s="8"/>
    </row>
    <row r="169" spans="1:7" ht="19.5" customHeight="1" x14ac:dyDescent="0.3">
      <c r="A169" s="5"/>
      <c r="B169" s="9" t="s">
        <v>63</v>
      </c>
      <c r="C169" s="31">
        <v>100800</v>
      </c>
      <c r="D169" s="8" t="s">
        <v>64</v>
      </c>
      <c r="E169" s="8"/>
    </row>
    <row r="170" spans="1:7" ht="19.5" customHeight="1" x14ac:dyDescent="0.3">
      <c r="A170" s="5"/>
      <c r="B170" s="9" t="s">
        <v>23</v>
      </c>
      <c r="C170" s="31">
        <v>1100000</v>
      </c>
      <c r="D170" s="8" t="s">
        <v>52</v>
      </c>
      <c r="E170" s="8"/>
    </row>
    <row r="171" spans="1:7" ht="19.5" customHeight="1" x14ac:dyDescent="0.3">
      <c r="A171" s="5"/>
      <c r="B171" s="9" t="s">
        <v>21</v>
      </c>
      <c r="C171" s="24">
        <v>3000</v>
      </c>
      <c r="D171" s="8"/>
      <c r="E171" s="8"/>
      <c r="F171" s="12" t="s">
        <v>17</v>
      </c>
      <c r="G171" s="13">
        <f>C157+C158+C160+C161+C164+C163+C159+C162+C172</f>
        <v>813250</v>
      </c>
    </row>
    <row r="172" spans="1:7" ht="19.5" customHeight="1" x14ac:dyDescent="0.3">
      <c r="A172" s="5"/>
      <c r="B172" s="16" t="s">
        <v>18</v>
      </c>
      <c r="C172" s="30"/>
      <c r="D172" s="8"/>
      <c r="E172" s="8"/>
      <c r="F172" s="12" t="s">
        <v>19</v>
      </c>
      <c r="G172" s="13">
        <f>SUM(C165:C171)</f>
        <v>6951400</v>
      </c>
    </row>
    <row r="173" spans="1:7" ht="19.5" customHeight="1" x14ac:dyDescent="0.25">
      <c r="A173" s="5"/>
      <c r="B173" s="121" t="s">
        <v>20</v>
      </c>
      <c r="C173" s="123">
        <f>SUM(C157:C172)</f>
        <v>7764650</v>
      </c>
      <c r="D173" s="121" t="s">
        <v>20</v>
      </c>
      <c r="E173" s="125">
        <f>SUM(E158:E171)</f>
        <v>0</v>
      </c>
      <c r="F173" s="14"/>
      <c r="G173" s="11"/>
    </row>
    <row r="174" spans="1:7" ht="19.5" customHeight="1" x14ac:dyDescent="0.25">
      <c r="A174" s="5"/>
      <c r="B174" s="122"/>
      <c r="C174" s="124"/>
      <c r="D174" s="122"/>
      <c r="E174" s="126"/>
      <c r="G174" s="21"/>
    </row>
    <row r="175" spans="1:7" ht="19.5" customHeight="1" x14ac:dyDescent="0.3">
      <c r="C175" s="29">
        <v>-7</v>
      </c>
    </row>
    <row r="177" spans="1:7" ht="19.5" customHeight="1" x14ac:dyDescent="0.3">
      <c r="A177" s="18" t="s">
        <v>68</v>
      </c>
      <c r="B177" s="5"/>
      <c r="C177" s="6" t="s">
        <v>12</v>
      </c>
      <c r="D177" s="6"/>
      <c r="E177" s="6" t="s">
        <v>13</v>
      </c>
    </row>
    <row r="178" spans="1:7" ht="19.5" customHeight="1" x14ac:dyDescent="0.3">
      <c r="A178" s="7"/>
      <c r="B178" s="20" t="s">
        <v>69</v>
      </c>
      <c r="C178" s="17">
        <f>10000*420</f>
        <v>4200000</v>
      </c>
      <c r="D178" s="8"/>
      <c r="E178" s="8"/>
    </row>
    <row r="179" spans="1:7" ht="19.5" customHeight="1" x14ac:dyDescent="0.3">
      <c r="A179" s="5"/>
      <c r="B179" s="20" t="s">
        <v>70</v>
      </c>
      <c r="C179" s="17">
        <f>1000*27</f>
        <v>27000</v>
      </c>
      <c r="D179" s="8"/>
      <c r="E179" s="8"/>
    </row>
    <row r="180" spans="1:7" ht="19.5" customHeight="1" x14ac:dyDescent="0.3">
      <c r="A180" s="5"/>
      <c r="B180" s="20" t="s">
        <v>56</v>
      </c>
      <c r="C180" s="17">
        <f>500*1</f>
        <v>500</v>
      </c>
      <c r="D180" s="8"/>
      <c r="E180" s="8"/>
    </row>
    <row r="181" spans="1:7" ht="19.5" customHeight="1" x14ac:dyDescent="0.3">
      <c r="A181" s="5"/>
      <c r="B181" s="20" t="s">
        <v>36</v>
      </c>
      <c r="C181" s="17">
        <f>200*7</f>
        <v>1400</v>
      </c>
      <c r="D181" s="8"/>
      <c r="E181" s="8"/>
      <c r="G181" s="21"/>
    </row>
    <row r="182" spans="1:7" ht="19.5" customHeight="1" x14ac:dyDescent="0.3">
      <c r="A182" s="5"/>
      <c r="B182" s="20" t="s">
        <v>71</v>
      </c>
      <c r="C182" s="17">
        <f>100*17</f>
        <v>1700</v>
      </c>
      <c r="D182" s="8"/>
      <c r="E182" s="8"/>
    </row>
    <row r="183" spans="1:7" ht="19.5" customHeight="1" x14ac:dyDescent="0.3">
      <c r="A183" s="5"/>
      <c r="B183" s="20" t="s">
        <v>28</v>
      </c>
      <c r="C183" s="17">
        <f>50*3</f>
        <v>150</v>
      </c>
      <c r="D183" s="8"/>
      <c r="E183" s="8"/>
      <c r="G183" s="22"/>
    </row>
    <row r="184" spans="1:7" ht="19.5" hidden="1" customHeight="1" x14ac:dyDescent="0.3">
      <c r="A184" s="5"/>
      <c r="B184" s="20"/>
      <c r="C184" s="17"/>
      <c r="D184" s="8"/>
      <c r="E184" s="8"/>
      <c r="F184" s="21"/>
      <c r="G184" s="21"/>
    </row>
    <row r="185" spans="1:7" ht="19.5" hidden="1" customHeight="1" x14ac:dyDescent="0.3">
      <c r="A185" s="5"/>
      <c r="B185" s="16"/>
      <c r="C185" s="17"/>
      <c r="D185" s="8"/>
      <c r="E185" s="8"/>
      <c r="F185" s="21"/>
      <c r="G185" s="21"/>
    </row>
    <row r="186" spans="1:7" ht="19.5" customHeight="1" x14ac:dyDescent="0.3">
      <c r="A186" s="5"/>
      <c r="B186" s="16" t="s">
        <v>51</v>
      </c>
      <c r="C186" s="24"/>
      <c r="D186" s="8"/>
      <c r="E186" s="8"/>
      <c r="F186" s="21"/>
      <c r="G186" s="21"/>
    </row>
    <row r="187" spans="1:7" ht="19.5" customHeight="1" x14ac:dyDescent="0.3">
      <c r="A187" s="5"/>
      <c r="B187" s="9" t="s">
        <v>14</v>
      </c>
      <c r="C187" s="26">
        <f>255850+150000+244750</f>
        <v>650600</v>
      </c>
      <c r="D187" s="8"/>
      <c r="E187" s="8"/>
    </row>
    <row r="188" spans="1:7" ht="19.5" customHeight="1" x14ac:dyDescent="0.3">
      <c r="A188" s="5"/>
      <c r="B188" s="9" t="s">
        <v>15</v>
      </c>
      <c r="C188" s="31"/>
      <c r="D188" s="8" t="s">
        <v>52</v>
      </c>
      <c r="E188" s="8"/>
      <c r="F188" s="21"/>
    </row>
    <row r="189" spans="1:7" ht="19.5" customHeight="1" x14ac:dyDescent="0.3">
      <c r="A189" s="5"/>
      <c r="B189" s="9" t="s">
        <v>16</v>
      </c>
      <c r="C189" s="24"/>
      <c r="D189" s="8"/>
      <c r="E189" s="8"/>
    </row>
    <row r="190" spans="1:7" ht="19.5" customHeight="1" x14ac:dyDescent="0.3">
      <c r="A190" s="5"/>
      <c r="B190" s="9" t="s">
        <v>63</v>
      </c>
      <c r="C190" s="24">
        <v>75400</v>
      </c>
      <c r="D190" s="8" t="s">
        <v>64</v>
      </c>
      <c r="E190" s="8"/>
    </row>
    <row r="191" spans="1:7" ht="19.5" customHeight="1" x14ac:dyDescent="0.3">
      <c r="A191" s="5"/>
      <c r="B191" s="9" t="s">
        <v>23</v>
      </c>
      <c r="C191" s="31"/>
      <c r="D191" s="8" t="s">
        <v>52</v>
      </c>
      <c r="E191" s="8"/>
    </row>
    <row r="192" spans="1:7" ht="19.5" customHeight="1" x14ac:dyDescent="0.3">
      <c r="A192" s="5"/>
      <c r="B192" s="9" t="s">
        <v>21</v>
      </c>
      <c r="C192" s="24">
        <v>4000</v>
      </c>
      <c r="D192" s="8"/>
      <c r="E192" s="8"/>
      <c r="F192" s="12" t="s">
        <v>17</v>
      </c>
      <c r="G192" s="13">
        <f>C178+C179+C181+C182+C185+C184+C180+C183+C193</f>
        <v>4230750</v>
      </c>
    </row>
    <row r="193" spans="1:7" ht="19.5" customHeight="1" x14ac:dyDescent="0.3">
      <c r="A193" s="5"/>
      <c r="B193" s="16" t="s">
        <v>18</v>
      </c>
      <c r="C193" s="30"/>
      <c r="D193" s="8"/>
      <c r="E193" s="8"/>
      <c r="F193" s="12" t="s">
        <v>19</v>
      </c>
      <c r="G193" s="13">
        <f>SUM(C186:C192)</f>
        <v>730000</v>
      </c>
    </row>
    <row r="194" spans="1:7" ht="19.5" customHeight="1" x14ac:dyDescent="0.25">
      <c r="A194" s="5"/>
      <c r="B194" s="121" t="s">
        <v>20</v>
      </c>
      <c r="C194" s="123">
        <f>SUM(C178:C193)</f>
        <v>4960750</v>
      </c>
      <c r="D194" s="121" t="s">
        <v>20</v>
      </c>
      <c r="E194" s="125">
        <f>SUM(E179:E192)</f>
        <v>0</v>
      </c>
      <c r="F194" s="14"/>
      <c r="G194" s="11"/>
    </row>
    <row r="195" spans="1:7" ht="19.5" customHeight="1" x14ac:dyDescent="0.25">
      <c r="A195" s="5"/>
      <c r="B195" s="122"/>
      <c r="C195" s="124"/>
      <c r="D195" s="122"/>
      <c r="E195" s="126"/>
      <c r="G195" s="21"/>
    </row>
    <row r="196" spans="1:7" ht="19.5" customHeight="1" x14ac:dyDescent="0.3">
      <c r="C196" s="29">
        <v>-7</v>
      </c>
    </row>
    <row r="198" spans="1:7" ht="19.5" customHeight="1" x14ac:dyDescent="0.3">
      <c r="A198" s="18" t="s">
        <v>72</v>
      </c>
      <c r="B198" s="5"/>
      <c r="C198" s="6" t="s">
        <v>12</v>
      </c>
      <c r="D198" s="6"/>
      <c r="E198" s="6" t="s">
        <v>13</v>
      </c>
    </row>
    <row r="199" spans="1:7" ht="19.5" customHeight="1" x14ac:dyDescent="0.3">
      <c r="A199" s="7"/>
      <c r="B199" s="20" t="s">
        <v>69</v>
      </c>
      <c r="C199" s="17">
        <f>10000*420</f>
        <v>4200000</v>
      </c>
      <c r="D199" s="8"/>
      <c r="E199" s="8"/>
    </row>
    <row r="200" spans="1:7" ht="19.5" customHeight="1" x14ac:dyDescent="0.3">
      <c r="A200" s="5"/>
      <c r="B200" s="20" t="s">
        <v>70</v>
      </c>
      <c r="C200" s="17">
        <f>1000*27</f>
        <v>27000</v>
      </c>
      <c r="D200" s="8"/>
      <c r="E200" s="8"/>
    </row>
    <row r="201" spans="1:7" ht="19.5" customHeight="1" x14ac:dyDescent="0.3">
      <c r="A201" s="5"/>
      <c r="B201" s="20" t="s">
        <v>56</v>
      </c>
      <c r="C201" s="17">
        <f>500*1</f>
        <v>500</v>
      </c>
      <c r="D201" s="8"/>
      <c r="E201" s="8"/>
    </row>
    <row r="202" spans="1:7" ht="19.5" customHeight="1" x14ac:dyDescent="0.3">
      <c r="A202" s="5"/>
      <c r="B202" s="20" t="s">
        <v>36</v>
      </c>
      <c r="C202" s="17">
        <f>200*7</f>
        <v>1400</v>
      </c>
      <c r="D202" s="8"/>
      <c r="E202" s="8"/>
      <c r="G202" s="21"/>
    </row>
    <row r="203" spans="1:7" ht="19.5" customHeight="1" x14ac:dyDescent="0.3">
      <c r="A203" s="5"/>
      <c r="B203" s="20" t="s">
        <v>71</v>
      </c>
      <c r="C203" s="17">
        <f>100*17</f>
        <v>1700</v>
      </c>
      <c r="D203" s="8"/>
      <c r="E203" s="8"/>
    </row>
    <row r="204" spans="1:7" ht="19.5" customHeight="1" x14ac:dyDescent="0.3">
      <c r="A204" s="5"/>
      <c r="B204" s="20" t="s">
        <v>28</v>
      </c>
      <c r="C204" s="17">
        <f>50*3</f>
        <v>150</v>
      </c>
      <c r="D204" s="8"/>
      <c r="E204" s="8"/>
      <c r="G204" s="22"/>
    </row>
    <row r="205" spans="1:7" ht="19.5" hidden="1" customHeight="1" x14ac:dyDescent="0.3">
      <c r="A205" s="5"/>
      <c r="B205" s="20"/>
      <c r="C205" s="17"/>
      <c r="D205" s="8"/>
      <c r="E205" s="8"/>
      <c r="F205" s="21"/>
      <c r="G205" s="21"/>
    </row>
    <row r="206" spans="1:7" ht="19.5" hidden="1" customHeight="1" x14ac:dyDescent="0.3">
      <c r="A206" s="5"/>
      <c r="B206" s="16"/>
      <c r="C206" s="17"/>
      <c r="D206" s="8"/>
      <c r="E206" s="8"/>
      <c r="F206" s="21"/>
      <c r="G206" s="21"/>
    </row>
    <row r="207" spans="1:7" ht="19.5" customHeight="1" x14ac:dyDescent="0.3">
      <c r="A207" s="5"/>
      <c r="B207" s="16" t="s">
        <v>51</v>
      </c>
      <c r="C207" s="24">
        <v>4800000</v>
      </c>
      <c r="D207" s="8"/>
      <c r="E207" s="8"/>
      <c r="F207" s="21"/>
      <c r="G207" s="21"/>
    </row>
    <row r="208" spans="1:7" ht="19.5" customHeight="1" x14ac:dyDescent="0.3">
      <c r="A208" s="5"/>
      <c r="B208" s="9" t="s">
        <v>14</v>
      </c>
      <c r="C208" s="26">
        <f>255850+150000+244750</f>
        <v>650600</v>
      </c>
      <c r="D208" s="8"/>
      <c r="E208" s="8"/>
    </row>
    <row r="209" spans="1:7" ht="19.5" customHeight="1" x14ac:dyDescent="0.3">
      <c r="A209" s="5"/>
      <c r="B209" s="9" t="s">
        <v>15</v>
      </c>
      <c r="C209" s="31"/>
      <c r="D209" s="8"/>
      <c r="E209" s="8"/>
      <c r="F209" s="21"/>
    </row>
    <row r="210" spans="1:7" ht="19.5" customHeight="1" x14ac:dyDescent="0.3">
      <c r="A210" s="5"/>
      <c r="B210" s="9" t="s">
        <v>16</v>
      </c>
      <c r="C210" s="24"/>
      <c r="D210" s="8"/>
      <c r="E210" s="8"/>
    </row>
    <row r="211" spans="1:7" ht="19.5" customHeight="1" x14ac:dyDescent="0.3">
      <c r="A211" s="5"/>
      <c r="B211" s="9" t="s">
        <v>63</v>
      </c>
      <c r="C211" s="24">
        <v>75400</v>
      </c>
      <c r="D211" s="8"/>
      <c r="E211" s="8"/>
    </row>
    <row r="212" spans="1:7" ht="19.5" hidden="1" customHeight="1" x14ac:dyDescent="0.3">
      <c r="A212" s="5"/>
      <c r="B212" s="9" t="s">
        <v>23</v>
      </c>
      <c r="C212" s="31"/>
      <c r="D212" s="8"/>
      <c r="E212" s="8"/>
    </row>
    <row r="213" spans="1:7" ht="19.5" customHeight="1" x14ac:dyDescent="0.3">
      <c r="A213" s="5"/>
      <c r="B213" s="9" t="s">
        <v>21</v>
      </c>
      <c r="C213" s="24">
        <v>4000</v>
      </c>
      <c r="D213" s="8"/>
      <c r="E213" s="8"/>
      <c r="F213" s="12" t="s">
        <v>17</v>
      </c>
      <c r="G213" s="13">
        <f>C199+C200+C202+C203+C206+C205+C201+C204+C214+C219+C220+C221</f>
        <v>4698550</v>
      </c>
    </row>
    <row r="214" spans="1:7" ht="19.5" customHeight="1" x14ac:dyDescent="0.3">
      <c r="A214" s="5"/>
      <c r="B214" s="16" t="s">
        <v>18</v>
      </c>
      <c r="C214" s="30"/>
      <c r="D214" s="8"/>
      <c r="E214" s="8"/>
      <c r="F214" s="12" t="s">
        <v>19</v>
      </c>
      <c r="G214" s="13">
        <f>SUM(C207:C213)</f>
        <v>5530000</v>
      </c>
    </row>
    <row r="215" spans="1:7" ht="19.5" customHeight="1" x14ac:dyDescent="0.25">
      <c r="A215" s="5"/>
      <c r="B215" s="121" t="s">
        <v>20</v>
      </c>
      <c r="C215" s="123">
        <f>SUM(C199:C214)</f>
        <v>9760750</v>
      </c>
      <c r="D215" s="121" t="s">
        <v>20</v>
      </c>
      <c r="E215" s="125">
        <f>SUM(E200:E213)</f>
        <v>0</v>
      </c>
      <c r="F215" s="14"/>
      <c r="G215" s="11"/>
    </row>
    <row r="216" spans="1:7" ht="19.5" customHeight="1" x14ac:dyDescent="0.25">
      <c r="A216" s="5"/>
      <c r="B216" s="122"/>
      <c r="C216" s="124"/>
      <c r="D216" s="122"/>
      <c r="E216" s="126"/>
      <c r="G216" s="21"/>
    </row>
    <row r="217" spans="1:7" ht="19.5" customHeight="1" x14ac:dyDescent="0.3">
      <c r="C217" s="29">
        <v>-7</v>
      </c>
    </row>
    <row r="219" spans="1:7" ht="19.5" customHeight="1" x14ac:dyDescent="0.25">
      <c r="B219" t="s">
        <v>73</v>
      </c>
      <c r="C219" s="32">
        <v>57000</v>
      </c>
    </row>
    <row r="220" spans="1:7" ht="19.5" customHeight="1" x14ac:dyDescent="0.25">
      <c r="B220" t="s">
        <v>74</v>
      </c>
      <c r="C220" s="32">
        <v>175800</v>
      </c>
    </row>
    <row r="221" spans="1:7" ht="19.5" customHeight="1" x14ac:dyDescent="0.25">
      <c r="B221" t="s">
        <v>76</v>
      </c>
      <c r="C221" s="32">
        <v>235000</v>
      </c>
    </row>
    <row r="222" spans="1:7" s="33" customFormat="1" ht="19.5" customHeight="1" x14ac:dyDescent="0.25">
      <c r="B222" s="33" t="s">
        <v>75</v>
      </c>
      <c r="C222" s="34">
        <f>SUM(C219:C221)</f>
        <v>467800</v>
      </c>
    </row>
    <row r="223" spans="1:7" ht="19.5" customHeight="1" x14ac:dyDescent="0.25">
      <c r="C223" s="32"/>
    </row>
    <row r="224" spans="1:7" ht="19.5" customHeight="1" x14ac:dyDescent="0.25">
      <c r="B224" s="35" t="s">
        <v>77</v>
      </c>
      <c r="C224" s="36">
        <f>C215+C222</f>
        <v>10228550</v>
      </c>
    </row>
    <row r="227" spans="1:7" ht="19.5" customHeight="1" x14ac:dyDescent="0.3">
      <c r="A227" s="18" t="s">
        <v>78</v>
      </c>
      <c r="B227" s="5"/>
      <c r="C227" s="6" t="s">
        <v>12</v>
      </c>
      <c r="D227" s="6"/>
      <c r="E227" s="6" t="s">
        <v>13</v>
      </c>
    </row>
    <row r="228" spans="1:7" ht="19.5" customHeight="1" x14ac:dyDescent="0.3">
      <c r="A228" s="7"/>
      <c r="B228" s="20" t="s">
        <v>79</v>
      </c>
      <c r="C228" s="17">
        <f>10000*453</f>
        <v>4530000</v>
      </c>
      <c r="D228" s="8"/>
      <c r="E228" s="8"/>
    </row>
    <row r="229" spans="1:7" ht="19.5" customHeight="1" x14ac:dyDescent="0.3">
      <c r="A229" s="7"/>
      <c r="B229" s="20" t="s">
        <v>80</v>
      </c>
      <c r="C229" s="17">
        <f>5000*3</f>
        <v>15000</v>
      </c>
      <c r="D229" s="8"/>
      <c r="E229" s="8"/>
    </row>
    <row r="230" spans="1:7" ht="19.5" customHeight="1" x14ac:dyDescent="0.3">
      <c r="A230" s="5"/>
      <c r="B230" s="20" t="s">
        <v>81</v>
      </c>
      <c r="C230" s="17">
        <f>1000*149</f>
        <v>149000</v>
      </c>
      <c r="D230" s="8"/>
      <c r="E230" s="8"/>
    </row>
    <row r="231" spans="1:7" ht="19.5" customHeight="1" x14ac:dyDescent="0.3">
      <c r="A231" s="5"/>
      <c r="B231" s="20" t="s">
        <v>25</v>
      </c>
      <c r="C231" s="17">
        <f>500*2</f>
        <v>1000</v>
      </c>
      <c r="D231" s="8"/>
      <c r="E231" s="8"/>
    </row>
    <row r="232" spans="1:7" ht="19.5" customHeight="1" x14ac:dyDescent="0.3">
      <c r="A232" s="5"/>
      <c r="B232" s="20" t="s">
        <v>57</v>
      </c>
      <c r="C232" s="17">
        <f>200*8</f>
        <v>1600</v>
      </c>
      <c r="D232" s="8"/>
      <c r="E232" s="8"/>
      <c r="G232" s="21"/>
    </row>
    <row r="233" spans="1:7" ht="19.5" customHeight="1" x14ac:dyDescent="0.3">
      <c r="A233" s="5"/>
      <c r="B233" s="20" t="s">
        <v>82</v>
      </c>
      <c r="C233" s="17">
        <f>100*18</f>
        <v>1800</v>
      </c>
      <c r="D233" s="8"/>
      <c r="E233" s="8"/>
    </row>
    <row r="234" spans="1:7" ht="19.5" customHeight="1" x14ac:dyDescent="0.3">
      <c r="A234" s="5"/>
      <c r="B234" s="20" t="s">
        <v>28</v>
      </c>
      <c r="C234" s="17">
        <f>50*3</f>
        <v>150</v>
      </c>
      <c r="D234" s="8"/>
      <c r="E234" s="8"/>
      <c r="G234" s="22"/>
    </row>
    <row r="235" spans="1:7" ht="19.5" hidden="1" customHeight="1" x14ac:dyDescent="0.3">
      <c r="A235" s="5"/>
      <c r="B235" s="20"/>
      <c r="C235" s="17"/>
      <c r="D235" s="8"/>
      <c r="E235" s="8"/>
      <c r="F235" s="21"/>
      <c r="G235" s="21"/>
    </row>
    <row r="236" spans="1:7" ht="19.5" hidden="1" customHeight="1" x14ac:dyDescent="0.3">
      <c r="A236" s="5"/>
      <c r="B236" s="16"/>
      <c r="C236" s="17"/>
      <c r="D236" s="8"/>
      <c r="E236" s="8"/>
      <c r="F236" s="21"/>
      <c r="G236" s="21"/>
    </row>
    <row r="237" spans="1:7" ht="19.5" customHeight="1" x14ac:dyDescent="0.3">
      <c r="A237" s="5"/>
      <c r="B237" s="16" t="s">
        <v>51</v>
      </c>
      <c r="C237" s="24">
        <v>4800000</v>
      </c>
      <c r="D237" s="8"/>
      <c r="E237" s="8"/>
      <c r="F237" s="21"/>
      <c r="G237" s="21"/>
    </row>
    <row r="238" spans="1:7" ht="19.5" customHeight="1" x14ac:dyDescent="0.3">
      <c r="A238" s="5"/>
      <c r="B238" s="9" t="s">
        <v>14</v>
      </c>
      <c r="C238" s="24">
        <f>255850+150000+244750</f>
        <v>650600</v>
      </c>
      <c r="D238" s="8"/>
      <c r="E238" s="8"/>
    </row>
    <row r="239" spans="1:7" ht="19.5" customHeight="1" x14ac:dyDescent="0.3">
      <c r="A239" s="5"/>
      <c r="B239" s="9" t="s">
        <v>15</v>
      </c>
      <c r="C239" s="26"/>
      <c r="D239" s="8"/>
      <c r="E239" s="8"/>
      <c r="F239" s="21"/>
    </row>
    <row r="240" spans="1:7" ht="19.5" customHeight="1" x14ac:dyDescent="0.3">
      <c r="A240" s="5"/>
      <c r="B240" s="9" t="s">
        <v>16</v>
      </c>
      <c r="C240" s="26"/>
      <c r="D240" s="8"/>
      <c r="E240" s="8"/>
    </row>
    <row r="241" spans="1:7" ht="19.5" customHeight="1" x14ac:dyDescent="0.3">
      <c r="A241" s="5"/>
      <c r="B241" s="9" t="s">
        <v>63</v>
      </c>
      <c r="C241" s="26">
        <f>75400+46300</f>
        <v>121700</v>
      </c>
      <c r="D241" s="8"/>
      <c r="E241" s="8"/>
    </row>
    <row r="242" spans="1:7" ht="19.5" hidden="1" customHeight="1" x14ac:dyDescent="0.3">
      <c r="A242" s="5"/>
      <c r="B242" s="9" t="s">
        <v>23</v>
      </c>
      <c r="C242" s="26"/>
      <c r="D242" s="8"/>
      <c r="E242" s="8"/>
    </row>
    <row r="243" spans="1:7" ht="19.5" customHeight="1" x14ac:dyDescent="0.3">
      <c r="A243" s="5"/>
      <c r="B243" s="9" t="s">
        <v>21</v>
      </c>
      <c r="C243" s="24">
        <f>4000</f>
        <v>4000</v>
      </c>
      <c r="D243" s="8"/>
      <c r="E243" s="8"/>
      <c r="F243" s="12" t="s">
        <v>17</v>
      </c>
      <c r="G243" s="13">
        <f>SUM(C228+C229+C230+C231+C232+C233+C234)</f>
        <v>4698550</v>
      </c>
    </row>
    <row r="244" spans="1:7" ht="19.5" customHeight="1" x14ac:dyDescent="0.3">
      <c r="A244" s="5"/>
      <c r="B244" s="16" t="s">
        <v>18</v>
      </c>
      <c r="C244" s="37"/>
      <c r="D244" s="8"/>
      <c r="E244" s="8"/>
      <c r="F244" s="12" t="s">
        <v>19</v>
      </c>
      <c r="G244" s="13">
        <f>SUM(C237:C243)</f>
        <v>5576300</v>
      </c>
    </row>
    <row r="245" spans="1:7" ht="19.5" customHeight="1" x14ac:dyDescent="0.25">
      <c r="A245" s="5"/>
      <c r="B245" s="121" t="s">
        <v>20</v>
      </c>
      <c r="C245" s="123">
        <f>SUM(C228:C244)</f>
        <v>10274850</v>
      </c>
      <c r="D245" s="121" t="s">
        <v>20</v>
      </c>
      <c r="E245" s="125">
        <f>SUM(E230:E243)</f>
        <v>0</v>
      </c>
      <c r="F245" s="14"/>
      <c r="G245" s="11"/>
    </row>
    <row r="246" spans="1:7" ht="19.5" customHeight="1" x14ac:dyDescent="0.25">
      <c r="A246" s="5"/>
      <c r="B246" s="122"/>
      <c r="C246" s="124"/>
      <c r="D246" s="122"/>
      <c r="E246" s="126"/>
      <c r="G246" s="21"/>
    </row>
    <row r="247" spans="1:7" ht="19.5" customHeight="1" x14ac:dyDescent="0.3">
      <c r="C247" s="29" t="e">
        <f>'Cash Report '!#REF!</f>
        <v>#REF!</v>
      </c>
    </row>
    <row r="248" spans="1:7" ht="19.5" customHeight="1" x14ac:dyDescent="0.25">
      <c r="C248" s="21" t="e">
        <f>C245-C247</f>
        <v>#REF!</v>
      </c>
    </row>
    <row r="249" spans="1:7" ht="19.5" customHeight="1" x14ac:dyDescent="0.3">
      <c r="A249" s="18" t="s">
        <v>83</v>
      </c>
      <c r="B249" s="5"/>
      <c r="C249" s="6" t="s">
        <v>12</v>
      </c>
      <c r="D249" s="6"/>
      <c r="E249" s="6" t="s">
        <v>13</v>
      </c>
    </row>
    <row r="250" spans="1:7" ht="19.5" customHeight="1" x14ac:dyDescent="0.3">
      <c r="A250" s="7"/>
      <c r="B250" s="20" t="s">
        <v>85</v>
      </c>
      <c r="C250" s="17">
        <f>10000*143</f>
        <v>1430000</v>
      </c>
      <c r="D250" s="8"/>
      <c r="E250" s="8"/>
    </row>
    <row r="251" spans="1:7" ht="19.5" customHeight="1" x14ac:dyDescent="0.3">
      <c r="A251" s="7"/>
      <c r="B251" s="20" t="s">
        <v>87</v>
      </c>
      <c r="C251" s="17">
        <f>5000*13</f>
        <v>65000</v>
      </c>
      <c r="D251" s="8"/>
      <c r="E251" s="8"/>
    </row>
    <row r="252" spans="1:7" ht="19.5" customHeight="1" x14ac:dyDescent="0.3">
      <c r="A252" s="5"/>
      <c r="B252" s="20" t="s">
        <v>84</v>
      </c>
      <c r="C252" s="17">
        <f>1000*49</f>
        <v>49000</v>
      </c>
      <c r="D252" s="8"/>
      <c r="E252" s="8"/>
    </row>
    <row r="253" spans="1:7" ht="19.5" customHeight="1" x14ac:dyDescent="0.3">
      <c r="A253" s="5"/>
      <c r="B253" s="20" t="s">
        <v>25</v>
      </c>
      <c r="C253" s="17">
        <f>500*2</f>
        <v>1000</v>
      </c>
      <c r="D253" s="8"/>
      <c r="E253" s="8"/>
    </row>
    <row r="254" spans="1:7" ht="19.5" customHeight="1" x14ac:dyDescent="0.3">
      <c r="A254" s="5"/>
      <c r="B254" s="20" t="s">
        <v>57</v>
      </c>
      <c r="C254" s="17">
        <f>200*8</f>
        <v>1600</v>
      </c>
      <c r="D254" s="8"/>
      <c r="E254" s="8"/>
      <c r="G254" s="21"/>
    </row>
    <row r="255" spans="1:7" ht="19.5" customHeight="1" x14ac:dyDescent="0.3">
      <c r="A255" s="5"/>
      <c r="B255" s="20" t="s">
        <v>82</v>
      </c>
      <c r="C255" s="17">
        <f>100*18</f>
        <v>1800</v>
      </c>
      <c r="D255" s="8"/>
      <c r="E255" s="8"/>
    </row>
    <row r="256" spans="1:7" ht="19.5" customHeight="1" x14ac:dyDescent="0.3">
      <c r="A256" s="5"/>
      <c r="B256" s="20" t="s">
        <v>28</v>
      </c>
      <c r="C256" s="17">
        <f>50*3</f>
        <v>150</v>
      </c>
      <c r="D256" s="8"/>
      <c r="E256" s="8"/>
      <c r="G256" s="22"/>
    </row>
    <row r="257" spans="1:7" ht="19.5" hidden="1" customHeight="1" x14ac:dyDescent="0.3">
      <c r="A257" s="5"/>
      <c r="B257" s="20"/>
      <c r="C257" s="17"/>
      <c r="D257" s="8"/>
      <c r="E257" s="8"/>
      <c r="F257" s="21"/>
      <c r="G257" s="21"/>
    </row>
    <row r="258" spans="1:7" ht="19.5" hidden="1" customHeight="1" x14ac:dyDescent="0.3">
      <c r="A258" s="5"/>
      <c r="B258" s="16"/>
      <c r="C258" s="17"/>
      <c r="D258" s="8"/>
      <c r="E258" s="8"/>
      <c r="F258" s="21"/>
      <c r="G258" s="21"/>
    </row>
    <row r="259" spans="1:7" ht="19.5" customHeight="1" x14ac:dyDescent="0.3">
      <c r="A259" s="5"/>
      <c r="B259" s="16" t="s">
        <v>51</v>
      </c>
      <c r="C259" s="24">
        <v>4800000</v>
      </c>
      <c r="D259" s="8"/>
      <c r="E259" s="8"/>
      <c r="F259" s="21"/>
      <c r="G259" s="21"/>
    </row>
    <row r="260" spans="1:7" ht="19.5" customHeight="1" x14ac:dyDescent="0.3">
      <c r="A260" s="5"/>
      <c r="B260" s="9" t="s">
        <v>14</v>
      </c>
      <c r="C260" s="24">
        <f>255850+150000+244750</f>
        <v>650600</v>
      </c>
      <c r="D260" s="8"/>
      <c r="E260" s="8"/>
    </row>
    <row r="261" spans="1:7" ht="19.5" hidden="1" customHeight="1" x14ac:dyDescent="0.3">
      <c r="A261" s="5"/>
      <c r="B261" s="9" t="s">
        <v>15</v>
      </c>
      <c r="C261" s="26"/>
      <c r="D261" s="8"/>
      <c r="E261" s="8"/>
      <c r="F261" s="21"/>
    </row>
    <row r="262" spans="1:7" ht="19.5" hidden="1" customHeight="1" x14ac:dyDescent="0.3">
      <c r="A262" s="5"/>
      <c r="B262" s="9" t="s">
        <v>16</v>
      </c>
      <c r="C262" s="26"/>
      <c r="D262" s="8"/>
      <c r="E262" s="8"/>
    </row>
    <row r="263" spans="1:7" ht="19.5" customHeight="1" x14ac:dyDescent="0.3">
      <c r="A263" s="5"/>
      <c r="B263" s="9" t="s">
        <v>63</v>
      </c>
      <c r="C263" s="24">
        <f>75400+46300+191600</f>
        <v>313300</v>
      </c>
      <c r="D263" s="8"/>
      <c r="E263" s="8"/>
    </row>
    <row r="264" spans="1:7" ht="19.5" hidden="1" customHeight="1" x14ac:dyDescent="0.3">
      <c r="A264" s="5"/>
      <c r="B264" s="9" t="s">
        <v>23</v>
      </c>
      <c r="C264" s="26"/>
      <c r="D264" s="8"/>
      <c r="E264" s="8"/>
    </row>
    <row r="265" spans="1:7" ht="19.5" customHeight="1" x14ac:dyDescent="0.3">
      <c r="A265" s="5"/>
      <c r="B265" s="9" t="s">
        <v>21</v>
      </c>
      <c r="C265" s="24">
        <f>4000</f>
        <v>4000</v>
      </c>
      <c r="D265" s="8"/>
      <c r="E265" s="8"/>
      <c r="F265" s="12" t="s">
        <v>17</v>
      </c>
      <c r="G265" s="13" t="e">
        <f>C250+C252+C254+C255+C258+C257+C253+C256+C266+C271+C272+C273+C251</f>
        <v>#VALUE!</v>
      </c>
    </row>
    <row r="266" spans="1:7" ht="19.5" customHeight="1" x14ac:dyDescent="0.3">
      <c r="A266" s="5"/>
      <c r="B266" s="16" t="s">
        <v>18</v>
      </c>
      <c r="C266" s="37"/>
      <c r="D266" s="8"/>
      <c r="E266" s="8"/>
      <c r="F266" s="12" t="s">
        <v>19</v>
      </c>
      <c r="G266" s="13">
        <f>SUM(C259:C265)</f>
        <v>5767900</v>
      </c>
    </row>
    <row r="267" spans="1:7" ht="19.5" customHeight="1" x14ac:dyDescent="0.25">
      <c r="A267" s="5"/>
      <c r="B267" s="121" t="s">
        <v>20</v>
      </c>
      <c r="C267" s="123">
        <f>SUM(C250:C266)</f>
        <v>7316450</v>
      </c>
      <c r="D267" s="121" t="s">
        <v>20</v>
      </c>
      <c r="E267" s="125">
        <f>SUM(E252:E265)</f>
        <v>0</v>
      </c>
      <c r="F267" s="14" t="s">
        <v>86</v>
      </c>
      <c r="G267" s="38" t="e">
        <f>SUM(G265:G266)</f>
        <v>#VALUE!</v>
      </c>
    </row>
    <row r="268" spans="1:7" ht="19.5" customHeight="1" x14ac:dyDescent="0.25">
      <c r="A268" s="5"/>
      <c r="B268" s="122"/>
      <c r="C268" s="124"/>
      <c r="D268" s="122"/>
      <c r="E268" s="126"/>
      <c r="G268" s="21"/>
    </row>
    <row r="269" spans="1:7" ht="19.5" customHeight="1" x14ac:dyDescent="0.3">
      <c r="C269" s="29" t="e">
        <f>'Cash Report '!#REF!</f>
        <v>#REF!</v>
      </c>
    </row>
    <row r="270" spans="1:7" ht="19.5" customHeight="1" x14ac:dyDescent="0.25">
      <c r="C270" s="21" t="e">
        <f>C267-C269</f>
        <v>#REF!</v>
      </c>
    </row>
    <row r="272" spans="1:7" ht="19.5" customHeight="1" x14ac:dyDescent="0.3">
      <c r="A272" s="18" t="s">
        <v>88</v>
      </c>
      <c r="B272" s="5"/>
      <c r="C272" s="6" t="s">
        <v>12</v>
      </c>
      <c r="D272" s="6"/>
      <c r="E272" s="6" t="s">
        <v>13</v>
      </c>
    </row>
    <row r="273" spans="1:7" ht="19.5" customHeight="1" x14ac:dyDescent="0.3">
      <c r="A273" s="7"/>
      <c r="B273" s="30" t="s">
        <v>85</v>
      </c>
      <c r="C273" s="24">
        <f>10000*143</f>
        <v>1430000</v>
      </c>
      <c r="D273" s="8"/>
      <c r="E273" s="8"/>
    </row>
    <row r="274" spans="1:7" ht="19.5" customHeight="1" x14ac:dyDescent="0.3">
      <c r="A274" s="7"/>
      <c r="B274" s="30" t="s">
        <v>89</v>
      </c>
      <c r="C274" s="24">
        <f>5000*14</f>
        <v>70000</v>
      </c>
      <c r="D274" s="8"/>
      <c r="E274" s="8"/>
    </row>
    <row r="275" spans="1:7" ht="19.5" customHeight="1" x14ac:dyDescent="0.3">
      <c r="A275" s="5"/>
      <c r="B275" s="30" t="s">
        <v>90</v>
      </c>
      <c r="C275" s="24">
        <f>1000*51</f>
        <v>51000</v>
      </c>
      <c r="D275" s="8"/>
      <c r="E275" s="8"/>
    </row>
    <row r="276" spans="1:7" ht="19.5" customHeight="1" x14ac:dyDescent="0.3">
      <c r="A276" s="5"/>
      <c r="B276" s="30" t="s">
        <v>25</v>
      </c>
      <c r="C276" s="24">
        <f>500*2</f>
        <v>1000</v>
      </c>
      <c r="D276" s="8"/>
      <c r="E276" s="8"/>
    </row>
    <row r="277" spans="1:7" ht="19.5" customHeight="1" x14ac:dyDescent="0.3">
      <c r="A277" s="5"/>
      <c r="B277" s="30" t="s">
        <v>57</v>
      </c>
      <c r="C277" s="24">
        <f>200*8</f>
        <v>1600</v>
      </c>
      <c r="D277" s="8"/>
      <c r="E277" s="8"/>
      <c r="G277" s="21"/>
    </row>
    <row r="278" spans="1:7" ht="19.5" customHeight="1" x14ac:dyDescent="0.3">
      <c r="A278" s="5"/>
      <c r="B278" s="30" t="s">
        <v>82</v>
      </c>
      <c r="C278" s="24">
        <f>100*18</f>
        <v>1800</v>
      </c>
      <c r="D278" s="8"/>
      <c r="E278" s="8"/>
    </row>
    <row r="279" spans="1:7" ht="19.5" customHeight="1" x14ac:dyDescent="0.3">
      <c r="A279" s="5"/>
      <c r="B279" s="30" t="s">
        <v>28</v>
      </c>
      <c r="C279" s="24">
        <f>50*3</f>
        <v>150</v>
      </c>
      <c r="D279" s="8"/>
      <c r="E279" s="8"/>
      <c r="G279" s="22"/>
    </row>
    <row r="280" spans="1:7" ht="19.5" hidden="1" customHeight="1" x14ac:dyDescent="0.3">
      <c r="A280" s="5"/>
      <c r="B280" s="20"/>
      <c r="C280" s="17"/>
      <c r="D280" s="8"/>
      <c r="E280" s="8"/>
      <c r="F280" s="21"/>
      <c r="G280" s="21"/>
    </row>
    <row r="281" spans="1:7" ht="19.5" hidden="1" customHeight="1" x14ac:dyDescent="0.3">
      <c r="A281" s="5"/>
      <c r="B281" s="16"/>
      <c r="C281" s="17"/>
      <c r="D281" s="8"/>
      <c r="E281" s="8"/>
      <c r="F281" s="21"/>
      <c r="G281" s="21"/>
    </row>
    <row r="282" spans="1:7" ht="19.5" customHeight="1" x14ac:dyDescent="0.3">
      <c r="A282" s="5"/>
      <c r="B282" s="30" t="s">
        <v>51</v>
      </c>
      <c r="C282" s="24">
        <v>4800000</v>
      </c>
      <c r="D282" s="8"/>
      <c r="E282" s="8"/>
      <c r="F282" s="21"/>
      <c r="G282" s="21"/>
    </row>
    <row r="283" spans="1:7" ht="19.5" customHeight="1" x14ac:dyDescent="0.3">
      <c r="A283" s="5"/>
      <c r="B283" s="30" t="s">
        <v>92</v>
      </c>
      <c r="C283" s="24">
        <v>2300000</v>
      </c>
      <c r="D283" s="8"/>
      <c r="E283" s="8"/>
      <c r="F283" s="21"/>
      <c r="G283" s="21"/>
    </row>
    <row r="284" spans="1:7" ht="19.5" customHeight="1" x14ac:dyDescent="0.3">
      <c r="A284" s="5"/>
      <c r="B284" s="30" t="s">
        <v>93</v>
      </c>
      <c r="C284" s="24">
        <v>3000000</v>
      </c>
      <c r="D284" s="8" t="s">
        <v>91</v>
      </c>
      <c r="E284" s="8"/>
      <c r="F284" s="21"/>
      <c r="G284" s="21"/>
    </row>
    <row r="285" spans="1:7" ht="19.5" customHeight="1" x14ac:dyDescent="0.3">
      <c r="A285" s="5"/>
      <c r="B285" s="39" t="s">
        <v>14</v>
      </c>
      <c r="C285" s="24">
        <f>255850+150000+244750+100000</f>
        <v>750600</v>
      </c>
      <c r="D285" s="8"/>
      <c r="E285" s="8"/>
    </row>
    <row r="286" spans="1:7" ht="19.5" hidden="1" customHeight="1" x14ac:dyDescent="0.3">
      <c r="A286" s="5"/>
      <c r="B286" s="9" t="s">
        <v>15</v>
      </c>
      <c r="C286" s="26"/>
      <c r="D286" s="8"/>
      <c r="E286" s="8"/>
      <c r="F286" s="21"/>
    </row>
    <row r="287" spans="1:7" ht="19.5" hidden="1" customHeight="1" x14ac:dyDescent="0.3">
      <c r="A287" s="5"/>
      <c r="B287" s="9" t="s">
        <v>16</v>
      </c>
      <c r="C287" s="26"/>
      <c r="D287" s="8"/>
      <c r="E287" s="8"/>
    </row>
    <row r="288" spans="1:7" ht="19.5" customHeight="1" x14ac:dyDescent="0.3">
      <c r="A288" s="5"/>
      <c r="B288" s="39" t="s">
        <v>63</v>
      </c>
      <c r="C288" s="24">
        <f>75400+46300+191600+10500</f>
        <v>323800</v>
      </c>
      <c r="D288" s="8"/>
      <c r="E288" s="8"/>
    </row>
    <row r="289" spans="1:7" ht="19.5" hidden="1" customHeight="1" x14ac:dyDescent="0.3">
      <c r="A289" s="5"/>
      <c r="B289" s="9" t="s">
        <v>23</v>
      </c>
      <c r="C289" s="26"/>
      <c r="D289" s="8"/>
      <c r="E289" s="8"/>
    </row>
    <row r="290" spans="1:7" ht="19.5" customHeight="1" x14ac:dyDescent="0.3">
      <c r="A290" s="5"/>
      <c r="B290" s="9" t="s">
        <v>21</v>
      </c>
      <c r="C290" s="26">
        <f>4000+16000</f>
        <v>20000</v>
      </c>
      <c r="D290" s="8"/>
      <c r="E290" s="8"/>
      <c r="F290" s="12" t="s">
        <v>17</v>
      </c>
      <c r="G290" s="13">
        <f>C273+C275+C277+C278+C281+C280+C276+C279+C291+C296+C297+C298+C274</f>
        <v>1677550</v>
      </c>
    </row>
    <row r="291" spans="1:7" ht="19.5" customHeight="1" x14ac:dyDescent="0.3">
      <c r="A291" s="5"/>
      <c r="B291" s="16" t="s">
        <v>18</v>
      </c>
      <c r="C291" s="37"/>
      <c r="D291" s="8"/>
      <c r="E291" s="8"/>
      <c r="F291" s="12" t="s">
        <v>19</v>
      </c>
      <c r="G291" s="13">
        <f>SUM(C282:C290)</f>
        <v>11194400</v>
      </c>
    </row>
    <row r="292" spans="1:7" ht="19.5" customHeight="1" x14ac:dyDescent="0.25">
      <c r="A292" s="5"/>
      <c r="B292" s="121" t="s">
        <v>20</v>
      </c>
      <c r="C292" s="123">
        <f>SUM(C273:C291)</f>
        <v>12749950</v>
      </c>
      <c r="D292" s="121" t="s">
        <v>20</v>
      </c>
      <c r="E292" s="125">
        <f>SUM(E275:E290)</f>
        <v>0</v>
      </c>
      <c r="F292" s="14" t="s">
        <v>86</v>
      </c>
      <c r="G292" s="38">
        <f>SUM(G290:G291)</f>
        <v>12871950</v>
      </c>
    </row>
    <row r="293" spans="1:7" ht="19.5" customHeight="1" x14ac:dyDescent="0.25">
      <c r="A293" s="5"/>
      <c r="B293" s="122"/>
      <c r="C293" s="124"/>
      <c r="D293" s="122"/>
      <c r="E293" s="126"/>
      <c r="G293" s="21"/>
    </row>
    <row r="294" spans="1:7" ht="19.5" customHeight="1" x14ac:dyDescent="0.3">
      <c r="A294" s="18" t="s">
        <v>94</v>
      </c>
      <c r="B294" s="5"/>
      <c r="C294" s="6" t="s">
        <v>12</v>
      </c>
      <c r="D294" s="6"/>
      <c r="E294" s="6" t="s">
        <v>13</v>
      </c>
    </row>
    <row r="295" spans="1:7" ht="19.5" customHeight="1" x14ac:dyDescent="0.3">
      <c r="A295" s="7"/>
      <c r="B295" s="37" t="s">
        <v>95</v>
      </c>
      <c r="C295" s="26">
        <f>10000*93</f>
        <v>930000</v>
      </c>
      <c r="D295" s="8"/>
      <c r="E295" s="8"/>
    </row>
    <row r="296" spans="1:7" ht="19.5" customHeight="1" x14ac:dyDescent="0.3">
      <c r="A296" s="7"/>
      <c r="B296" s="37" t="s">
        <v>89</v>
      </c>
      <c r="C296" s="26">
        <f>5000*14</f>
        <v>70000</v>
      </c>
      <c r="D296" s="8"/>
      <c r="E296" s="8"/>
    </row>
    <row r="297" spans="1:7" ht="19.5" customHeight="1" x14ac:dyDescent="0.3">
      <c r="A297" s="5"/>
      <c r="B297" s="37" t="s">
        <v>90</v>
      </c>
      <c r="C297" s="26">
        <f>1000*51</f>
        <v>51000</v>
      </c>
      <c r="D297" s="8"/>
      <c r="E297" s="8"/>
    </row>
    <row r="298" spans="1:7" ht="19.5" customHeight="1" x14ac:dyDescent="0.3">
      <c r="A298" s="5"/>
      <c r="B298" s="37" t="s">
        <v>25</v>
      </c>
      <c r="C298" s="26">
        <f>500*2</f>
        <v>1000</v>
      </c>
      <c r="D298" s="8"/>
      <c r="E298" s="8"/>
    </row>
    <row r="299" spans="1:7" ht="19.5" customHeight="1" x14ac:dyDescent="0.3">
      <c r="A299" s="5"/>
      <c r="B299" s="37" t="s">
        <v>57</v>
      </c>
      <c r="C299" s="26">
        <f>200*8</f>
        <v>1600</v>
      </c>
      <c r="D299" s="8"/>
      <c r="E299" s="8"/>
      <c r="G299" s="21"/>
    </row>
    <row r="300" spans="1:7" ht="19.5" customHeight="1" x14ac:dyDescent="0.3">
      <c r="A300" s="5"/>
      <c r="B300" s="37" t="s">
        <v>82</v>
      </c>
      <c r="C300" s="26">
        <f>100*18</f>
        <v>1800</v>
      </c>
      <c r="D300" s="8"/>
      <c r="E300" s="8"/>
    </row>
    <row r="301" spans="1:7" ht="19.5" customHeight="1" x14ac:dyDescent="0.3">
      <c r="A301" s="5"/>
      <c r="B301" s="37" t="s">
        <v>28</v>
      </c>
      <c r="C301" s="26">
        <f>50*3</f>
        <v>150</v>
      </c>
      <c r="D301" s="8"/>
      <c r="E301" s="8"/>
      <c r="G301" s="22"/>
    </row>
    <row r="302" spans="1:7" ht="19.5" hidden="1" customHeight="1" x14ac:dyDescent="0.3">
      <c r="A302" s="5"/>
      <c r="B302" s="37"/>
      <c r="C302" s="26"/>
      <c r="D302" s="8"/>
      <c r="E302" s="8"/>
      <c r="F302" s="21"/>
      <c r="G302" s="21"/>
    </row>
    <row r="303" spans="1:7" ht="19.5" hidden="1" customHeight="1" x14ac:dyDescent="0.3">
      <c r="A303" s="5"/>
      <c r="B303" s="37"/>
      <c r="C303" s="26"/>
      <c r="D303" s="8"/>
      <c r="E303" s="8"/>
      <c r="F303" s="21"/>
      <c r="G303" s="21"/>
    </row>
    <row r="304" spans="1:7" ht="19.5" customHeight="1" x14ac:dyDescent="0.3">
      <c r="A304" s="5"/>
      <c r="B304" s="37" t="s">
        <v>51</v>
      </c>
      <c r="C304" s="26"/>
      <c r="D304" s="8"/>
      <c r="E304" s="8"/>
      <c r="F304" s="21"/>
      <c r="G304" s="21"/>
    </row>
    <row r="305" spans="1:7" ht="19.5" customHeight="1" x14ac:dyDescent="0.3">
      <c r="A305" s="5"/>
      <c r="B305" s="37" t="s">
        <v>92</v>
      </c>
      <c r="C305" s="26"/>
      <c r="D305" s="8"/>
      <c r="E305" s="8"/>
      <c r="F305" s="21"/>
      <c r="G305" s="21"/>
    </row>
    <row r="306" spans="1:7" ht="19.5" customHeight="1" x14ac:dyDescent="0.3">
      <c r="A306" s="5"/>
      <c r="B306" s="37" t="s">
        <v>93</v>
      </c>
      <c r="C306" s="26"/>
      <c r="D306" s="8"/>
      <c r="E306" s="8"/>
      <c r="F306" s="21"/>
      <c r="G306" s="21"/>
    </row>
    <row r="307" spans="1:7" ht="19.5" customHeight="1" x14ac:dyDescent="0.3">
      <c r="A307" s="5"/>
      <c r="B307" s="40" t="s">
        <v>14</v>
      </c>
      <c r="C307" s="26">
        <v>295000</v>
      </c>
      <c r="D307" s="8"/>
      <c r="E307" s="8"/>
    </row>
    <row r="308" spans="1:7" ht="19.5" hidden="1" customHeight="1" x14ac:dyDescent="0.3">
      <c r="A308" s="5"/>
      <c r="B308" s="40" t="s">
        <v>15</v>
      </c>
      <c r="C308" s="26"/>
      <c r="D308" s="8"/>
      <c r="E308" s="8"/>
      <c r="F308" s="21"/>
    </row>
    <row r="309" spans="1:7" ht="19.5" hidden="1" customHeight="1" x14ac:dyDescent="0.3">
      <c r="A309" s="5"/>
      <c r="B309" s="40" t="s">
        <v>16</v>
      </c>
      <c r="C309" s="26"/>
      <c r="D309" s="8"/>
      <c r="E309" s="8"/>
    </row>
    <row r="310" spans="1:7" ht="19.5" customHeight="1" x14ac:dyDescent="0.3">
      <c r="A310" s="5"/>
      <c r="B310" s="40" t="s">
        <v>63</v>
      </c>
      <c r="C310" s="26"/>
      <c r="D310" s="8"/>
      <c r="E310" s="8"/>
    </row>
    <row r="311" spans="1:7" ht="19.5" hidden="1" customHeight="1" x14ac:dyDescent="0.3">
      <c r="A311" s="5"/>
      <c r="B311" s="40" t="s">
        <v>23</v>
      </c>
      <c r="C311" s="26"/>
      <c r="D311" s="8"/>
      <c r="E311" s="8"/>
    </row>
    <row r="312" spans="1:7" ht="19.5" customHeight="1" x14ac:dyDescent="0.3">
      <c r="A312" s="5"/>
      <c r="B312" s="40" t="s">
        <v>21</v>
      </c>
      <c r="C312" s="26"/>
      <c r="D312" s="8"/>
      <c r="E312" s="8"/>
      <c r="F312" s="12" t="s">
        <v>17</v>
      </c>
      <c r="G312" s="13">
        <f>C295+C297+C299+C300+C303+C302+C298+C301+C313+C318+C319+C320+C296</f>
        <v>2106550</v>
      </c>
    </row>
    <row r="313" spans="1:7" ht="19.5" customHeight="1" x14ac:dyDescent="0.3">
      <c r="A313" s="5"/>
      <c r="B313" s="16" t="s">
        <v>18</v>
      </c>
      <c r="C313" s="37"/>
      <c r="D313" s="8"/>
      <c r="E313" s="8"/>
      <c r="F313" s="12" t="s">
        <v>19</v>
      </c>
      <c r="G313" s="13">
        <f>SUM(C304:C312)</f>
        <v>295000</v>
      </c>
    </row>
    <row r="314" spans="1:7" ht="19.5" customHeight="1" x14ac:dyDescent="0.25">
      <c r="A314" s="5"/>
      <c r="B314" s="121" t="s">
        <v>20</v>
      </c>
      <c r="C314" s="123">
        <f>SUM(C295:C313)</f>
        <v>1350550</v>
      </c>
      <c r="D314" s="121" t="s">
        <v>20</v>
      </c>
      <c r="E314" s="125">
        <f>SUM(E297:E312)</f>
        <v>0</v>
      </c>
      <c r="F314" s="14" t="s">
        <v>86</v>
      </c>
      <c r="G314" s="38">
        <f>SUM(G312:G313)</f>
        <v>2401550</v>
      </c>
    </row>
    <row r="315" spans="1:7" ht="19.5" customHeight="1" x14ac:dyDescent="0.25">
      <c r="A315" s="5"/>
      <c r="B315" s="122"/>
      <c r="C315" s="124"/>
      <c r="D315" s="122"/>
      <c r="E315" s="126"/>
      <c r="G315" s="21"/>
    </row>
    <row r="317" spans="1:7" ht="19.5" customHeight="1" x14ac:dyDescent="0.3">
      <c r="A317" s="18" t="s">
        <v>96</v>
      </c>
      <c r="B317" s="5"/>
      <c r="C317" s="6" t="s">
        <v>12</v>
      </c>
      <c r="D317" s="6"/>
      <c r="E317" s="6" t="s">
        <v>13</v>
      </c>
    </row>
    <row r="318" spans="1:7" ht="19.5" customHeight="1" x14ac:dyDescent="0.3">
      <c r="A318" s="7"/>
      <c r="B318" s="37" t="s">
        <v>95</v>
      </c>
      <c r="C318" s="26">
        <f>10000*93</f>
        <v>930000</v>
      </c>
      <c r="D318" s="8"/>
      <c r="E318" s="8"/>
    </row>
    <row r="319" spans="1:7" ht="19.5" customHeight="1" x14ac:dyDescent="0.3">
      <c r="A319" s="7"/>
      <c r="B319" s="37" t="s">
        <v>89</v>
      </c>
      <c r="C319" s="26">
        <f>5000*14</f>
        <v>70000</v>
      </c>
      <c r="D319" s="8"/>
      <c r="E319" s="8"/>
    </row>
    <row r="320" spans="1:7" ht="19.5" customHeight="1" x14ac:dyDescent="0.3">
      <c r="A320" s="5"/>
      <c r="B320" s="37" t="s">
        <v>90</v>
      </c>
      <c r="C320" s="26">
        <f>1000*51</f>
        <v>51000</v>
      </c>
      <c r="D320" s="8"/>
      <c r="E320" s="8"/>
    </row>
    <row r="321" spans="1:7" ht="19.5" customHeight="1" x14ac:dyDescent="0.3">
      <c r="A321" s="5"/>
      <c r="B321" s="37" t="s">
        <v>25</v>
      </c>
      <c r="C321" s="26">
        <f>500*2</f>
        <v>1000</v>
      </c>
      <c r="D321" s="8"/>
      <c r="E321" s="8"/>
    </row>
    <row r="322" spans="1:7" ht="19.5" customHeight="1" x14ac:dyDescent="0.3">
      <c r="A322" s="5"/>
      <c r="B322" s="37" t="s">
        <v>57</v>
      </c>
      <c r="C322" s="26">
        <f>200*8</f>
        <v>1600</v>
      </c>
      <c r="D322" s="8"/>
      <c r="E322" s="8"/>
      <c r="G322" s="21"/>
    </row>
    <row r="323" spans="1:7" ht="19.5" customHeight="1" x14ac:dyDescent="0.3">
      <c r="A323" s="5"/>
      <c r="B323" s="37" t="s">
        <v>82</v>
      </c>
      <c r="C323" s="26">
        <f>100*18</f>
        <v>1800</v>
      </c>
      <c r="D323" s="8"/>
      <c r="E323" s="8"/>
    </row>
    <row r="324" spans="1:7" ht="19.5" customHeight="1" x14ac:dyDescent="0.3">
      <c r="A324" s="5"/>
      <c r="B324" s="37" t="s">
        <v>28</v>
      </c>
      <c r="C324" s="26">
        <f>50*3</f>
        <v>150</v>
      </c>
      <c r="D324" s="8"/>
      <c r="E324" s="8"/>
      <c r="G324" s="22"/>
    </row>
    <row r="325" spans="1:7" ht="19.5" hidden="1" customHeight="1" x14ac:dyDescent="0.3">
      <c r="A325" s="5"/>
      <c r="B325" s="37"/>
      <c r="C325" s="26"/>
      <c r="D325" s="8"/>
      <c r="E325" s="8"/>
      <c r="F325" s="21"/>
      <c r="G325" s="21"/>
    </row>
    <row r="326" spans="1:7" ht="19.5" hidden="1" customHeight="1" x14ac:dyDescent="0.3">
      <c r="A326" s="5"/>
      <c r="B326" s="37"/>
      <c r="C326" s="26"/>
      <c r="D326" s="8"/>
      <c r="E326" s="8"/>
      <c r="F326" s="21"/>
      <c r="G326" s="21"/>
    </row>
    <row r="327" spans="1:7" ht="19.5" customHeight="1" x14ac:dyDescent="0.3">
      <c r="A327" s="5"/>
      <c r="B327" s="37"/>
      <c r="C327" s="26"/>
      <c r="D327" s="8"/>
      <c r="E327" s="8"/>
      <c r="F327" s="21"/>
      <c r="G327" s="21"/>
    </row>
    <row r="328" spans="1:7" ht="19.5" customHeight="1" x14ac:dyDescent="0.3">
      <c r="A328" s="5"/>
      <c r="B328" s="37" t="s">
        <v>98</v>
      </c>
      <c r="C328" s="26">
        <v>300000</v>
      </c>
      <c r="D328" s="8"/>
      <c r="E328" s="8"/>
      <c r="F328" s="21"/>
      <c r="G328" s="21"/>
    </row>
    <row r="329" spans="1:7" ht="19.5" customHeight="1" x14ac:dyDescent="0.3">
      <c r="A329" s="5"/>
      <c r="B329" s="37"/>
      <c r="C329" s="26"/>
      <c r="D329" s="8"/>
      <c r="E329" s="8"/>
      <c r="F329" s="21"/>
      <c r="G329" s="21"/>
    </row>
    <row r="330" spans="1:7" ht="19.5" customHeight="1" x14ac:dyDescent="0.3">
      <c r="A330" s="5"/>
      <c r="B330" s="40" t="s">
        <v>14</v>
      </c>
      <c r="C330" s="26">
        <v>295000</v>
      </c>
      <c r="D330" s="8"/>
      <c r="E330" s="8"/>
    </row>
    <row r="331" spans="1:7" ht="19.5" hidden="1" customHeight="1" x14ac:dyDescent="0.3">
      <c r="A331" s="5"/>
      <c r="B331" s="40" t="s">
        <v>15</v>
      </c>
      <c r="C331" s="26"/>
      <c r="D331" s="8"/>
      <c r="E331" s="8"/>
      <c r="F331" s="21"/>
    </row>
    <row r="332" spans="1:7" ht="19.5" hidden="1" customHeight="1" x14ac:dyDescent="0.3">
      <c r="A332" s="5"/>
      <c r="B332" s="40" t="s">
        <v>16</v>
      </c>
      <c r="C332" s="26"/>
      <c r="D332" s="8"/>
      <c r="E332" s="8"/>
    </row>
    <row r="333" spans="1:7" ht="19.5" customHeight="1" x14ac:dyDescent="0.3">
      <c r="A333" s="5"/>
      <c r="B333" s="40" t="s">
        <v>63</v>
      </c>
      <c r="C333" s="26">
        <v>246000</v>
      </c>
      <c r="D333" s="8" t="s">
        <v>97</v>
      </c>
      <c r="E333" s="8"/>
    </row>
    <row r="334" spans="1:7" ht="19.5" hidden="1" customHeight="1" x14ac:dyDescent="0.3">
      <c r="A334" s="5"/>
      <c r="B334" s="40" t="s">
        <v>23</v>
      </c>
      <c r="C334" s="26"/>
      <c r="D334" s="8"/>
      <c r="E334" s="8"/>
    </row>
    <row r="335" spans="1:7" ht="19.5" customHeight="1" x14ac:dyDescent="0.3">
      <c r="A335" s="5"/>
      <c r="B335" s="40" t="s">
        <v>63</v>
      </c>
      <c r="C335" s="26">
        <v>136750</v>
      </c>
      <c r="D335" s="8"/>
      <c r="E335" s="8"/>
    </row>
    <row r="336" spans="1:7" ht="19.5" customHeight="1" x14ac:dyDescent="0.3">
      <c r="A336" s="5"/>
      <c r="B336" s="40" t="s">
        <v>21</v>
      </c>
      <c r="C336" s="26"/>
      <c r="D336" s="8"/>
      <c r="E336" s="8"/>
      <c r="F336" s="12" t="s">
        <v>17</v>
      </c>
      <c r="G336" s="13">
        <f>C318+C320+C322+C323+C326+C325+C321+C324+C337+C342+C343+C344+C319</f>
        <v>1177550</v>
      </c>
    </row>
    <row r="337" spans="1:7" ht="19.5" customHeight="1" x14ac:dyDescent="0.3">
      <c r="A337" s="5"/>
      <c r="B337" s="16" t="s">
        <v>18</v>
      </c>
      <c r="C337" s="37"/>
      <c r="D337" s="8"/>
      <c r="E337" s="8"/>
      <c r="F337" s="12" t="s">
        <v>19</v>
      </c>
      <c r="G337" s="13">
        <f>SUM(C327:C336)</f>
        <v>977750</v>
      </c>
    </row>
    <row r="338" spans="1:7" ht="19.5" customHeight="1" x14ac:dyDescent="0.25">
      <c r="A338" s="5"/>
      <c r="B338" s="121" t="s">
        <v>20</v>
      </c>
      <c r="C338" s="123">
        <f>SUM(C318:C337)</f>
        <v>2033300</v>
      </c>
      <c r="D338" s="121" t="s">
        <v>20</v>
      </c>
      <c r="E338" s="125">
        <f>SUM(E320:E336)</f>
        <v>0</v>
      </c>
      <c r="F338" s="14" t="s">
        <v>86</v>
      </c>
      <c r="G338" s="38">
        <f>SUM(G336:G337)</f>
        <v>2155300</v>
      </c>
    </row>
    <row r="339" spans="1:7" ht="19.5" customHeight="1" x14ac:dyDescent="0.25">
      <c r="A339" s="5"/>
      <c r="B339" s="122"/>
      <c r="C339" s="124"/>
      <c r="D339" s="122"/>
      <c r="E339" s="126"/>
      <c r="G339" s="21"/>
    </row>
    <row r="340" spans="1:7" ht="19.5" customHeight="1" x14ac:dyDescent="0.3">
      <c r="A340" s="18" t="s">
        <v>99</v>
      </c>
      <c r="B340" s="5"/>
      <c r="C340" s="6" t="s">
        <v>12</v>
      </c>
      <c r="D340" s="6"/>
      <c r="E340" s="6" t="s">
        <v>13</v>
      </c>
    </row>
    <row r="341" spans="1:7" ht="19.5" customHeight="1" x14ac:dyDescent="0.3">
      <c r="A341" s="7"/>
      <c r="B341" s="37" t="s">
        <v>95</v>
      </c>
      <c r="C341" s="26">
        <f>10000*93</f>
        <v>930000</v>
      </c>
      <c r="D341" s="8"/>
      <c r="E341" s="8"/>
    </row>
    <row r="342" spans="1:7" ht="19.5" customHeight="1" x14ac:dyDescent="0.3">
      <c r="A342" s="7"/>
      <c r="B342" s="37" t="s">
        <v>89</v>
      </c>
      <c r="C342" s="26">
        <f>5000*14</f>
        <v>70000</v>
      </c>
      <c r="D342" s="8"/>
      <c r="E342" s="8"/>
    </row>
    <row r="343" spans="1:7" ht="19.5" customHeight="1" x14ac:dyDescent="0.3">
      <c r="A343" s="5"/>
      <c r="B343" s="37" t="s">
        <v>90</v>
      </c>
      <c r="C343" s="26">
        <f>1000*51</f>
        <v>51000</v>
      </c>
      <c r="D343" s="8"/>
      <c r="E343" s="8"/>
    </row>
    <row r="344" spans="1:7" ht="19.5" customHeight="1" x14ac:dyDescent="0.3">
      <c r="A344" s="5"/>
      <c r="B344" s="37" t="s">
        <v>25</v>
      </c>
      <c r="C344" s="26">
        <f>500*2</f>
        <v>1000</v>
      </c>
      <c r="D344" s="8"/>
      <c r="E344" s="8"/>
    </row>
    <row r="345" spans="1:7" ht="19.5" customHeight="1" x14ac:dyDescent="0.3">
      <c r="A345" s="5"/>
      <c r="B345" s="37" t="s">
        <v>57</v>
      </c>
      <c r="C345" s="26">
        <f>200*8</f>
        <v>1600</v>
      </c>
      <c r="D345" s="8"/>
      <c r="E345" s="8"/>
      <c r="G345" s="21"/>
    </row>
    <row r="346" spans="1:7" ht="19.5" customHeight="1" x14ac:dyDescent="0.3">
      <c r="A346" s="5"/>
      <c r="B346" s="37" t="s">
        <v>82</v>
      </c>
      <c r="C346" s="26">
        <f>100*18</f>
        <v>1800</v>
      </c>
      <c r="D346" s="8"/>
      <c r="E346" s="8"/>
    </row>
    <row r="347" spans="1:7" ht="19.5" customHeight="1" x14ac:dyDescent="0.3">
      <c r="A347" s="5"/>
      <c r="B347" s="37" t="s">
        <v>28</v>
      </c>
      <c r="C347" s="26">
        <f>50*3</f>
        <v>150</v>
      </c>
      <c r="D347" s="8"/>
      <c r="E347" s="8"/>
      <c r="G347" s="22"/>
    </row>
    <row r="348" spans="1:7" ht="19.5" hidden="1" customHeight="1" x14ac:dyDescent="0.3">
      <c r="A348" s="5"/>
      <c r="B348" s="37"/>
      <c r="C348" s="26"/>
      <c r="D348" s="8"/>
      <c r="E348" s="8"/>
      <c r="F348" s="21"/>
      <c r="G348" s="21"/>
    </row>
    <row r="349" spans="1:7" ht="19.5" hidden="1" customHeight="1" x14ac:dyDescent="0.3">
      <c r="A349" s="5"/>
      <c r="B349" s="37"/>
      <c r="C349" s="26"/>
      <c r="D349" s="8"/>
      <c r="E349" s="8"/>
      <c r="F349" s="21"/>
      <c r="G349" s="21"/>
    </row>
    <row r="350" spans="1:7" ht="19.5" customHeight="1" x14ac:dyDescent="0.3">
      <c r="A350" s="5"/>
      <c r="B350" s="37"/>
      <c r="C350" s="26"/>
      <c r="D350" s="8"/>
      <c r="E350" s="8"/>
      <c r="F350" s="21"/>
      <c r="G350" s="21"/>
    </row>
    <row r="351" spans="1:7" ht="19.5" customHeight="1" x14ac:dyDescent="0.3">
      <c r="A351" s="5"/>
      <c r="B351" s="37" t="s">
        <v>98</v>
      </c>
      <c r="C351" s="26">
        <v>300000</v>
      </c>
      <c r="D351" s="8"/>
      <c r="E351" s="8"/>
      <c r="F351" s="21"/>
      <c r="G351" s="21"/>
    </row>
    <row r="352" spans="1:7" ht="19.5" customHeight="1" x14ac:dyDescent="0.3">
      <c r="A352" s="5"/>
      <c r="B352" s="37"/>
      <c r="C352" s="26"/>
      <c r="D352" s="8"/>
      <c r="E352" s="8"/>
      <c r="F352" s="21"/>
      <c r="G352" s="21"/>
    </row>
    <row r="353" spans="1:7" ht="19.5" customHeight="1" x14ac:dyDescent="0.3">
      <c r="A353" s="5"/>
      <c r="B353" s="40" t="s">
        <v>14</v>
      </c>
      <c r="C353" s="26">
        <v>295000</v>
      </c>
      <c r="D353" s="8"/>
      <c r="E353" s="8"/>
    </row>
    <row r="354" spans="1:7" ht="19.5" hidden="1" customHeight="1" x14ac:dyDescent="0.3">
      <c r="A354" s="5"/>
      <c r="B354" s="40" t="s">
        <v>15</v>
      </c>
      <c r="C354" s="26"/>
      <c r="D354" s="8"/>
      <c r="E354" s="8"/>
      <c r="F354" s="21"/>
    </row>
    <row r="355" spans="1:7" ht="19.5" hidden="1" customHeight="1" x14ac:dyDescent="0.3">
      <c r="A355" s="5"/>
      <c r="B355" s="40" t="s">
        <v>16</v>
      </c>
      <c r="C355" s="26"/>
      <c r="D355" s="8"/>
      <c r="E355" s="8"/>
    </row>
    <row r="356" spans="1:7" ht="19.5" customHeight="1" x14ac:dyDescent="0.3">
      <c r="A356" s="5"/>
      <c r="B356" s="40" t="s">
        <v>63</v>
      </c>
      <c r="C356" s="26">
        <v>246000</v>
      </c>
      <c r="D356" s="8" t="s">
        <v>97</v>
      </c>
      <c r="E356" s="8"/>
    </row>
    <row r="357" spans="1:7" ht="19.5" hidden="1" customHeight="1" x14ac:dyDescent="0.3">
      <c r="A357" s="5"/>
      <c r="B357" s="40" t="s">
        <v>23</v>
      </c>
      <c r="C357" s="26"/>
      <c r="D357" s="8"/>
      <c r="E357" s="8"/>
    </row>
    <row r="358" spans="1:7" ht="19.5" customHeight="1" x14ac:dyDescent="0.3">
      <c r="A358" s="5"/>
      <c r="B358" s="40" t="s">
        <v>63</v>
      </c>
      <c r="C358" s="26">
        <f>136750+33500</f>
        <v>170250</v>
      </c>
      <c r="D358" s="8"/>
      <c r="E358" s="8"/>
    </row>
    <row r="359" spans="1:7" ht="19.5" customHeight="1" x14ac:dyDescent="0.3">
      <c r="A359" s="5"/>
      <c r="B359" s="40" t="s">
        <v>21</v>
      </c>
      <c r="C359" s="26"/>
      <c r="D359" s="8"/>
      <c r="E359" s="8"/>
      <c r="F359" s="12" t="s">
        <v>17</v>
      </c>
      <c r="G359" s="13">
        <f>C341+C343+C345+C346+C349+C348+C344+C347+C360+C365+C366+C367+C342</f>
        <v>1112550</v>
      </c>
    </row>
    <row r="360" spans="1:7" ht="19.5" customHeight="1" x14ac:dyDescent="0.3">
      <c r="A360" s="5"/>
      <c r="B360" s="16" t="s">
        <v>18</v>
      </c>
      <c r="C360" s="37"/>
      <c r="D360" s="8"/>
      <c r="E360" s="8"/>
      <c r="F360" s="12" t="s">
        <v>19</v>
      </c>
      <c r="G360" s="13">
        <f>SUM(C350:C359)</f>
        <v>1011250</v>
      </c>
    </row>
    <row r="361" spans="1:7" ht="19.5" customHeight="1" x14ac:dyDescent="0.25">
      <c r="A361" s="5"/>
      <c r="B361" s="121" t="s">
        <v>20</v>
      </c>
      <c r="C361" s="123">
        <f>SUM(C341:C360)</f>
        <v>2066800</v>
      </c>
      <c r="D361" s="121" t="s">
        <v>20</v>
      </c>
      <c r="E361" s="125">
        <f>SUM(E343:E359)</f>
        <v>0</v>
      </c>
      <c r="F361" s="14" t="s">
        <v>86</v>
      </c>
      <c r="G361" s="38">
        <f>SUM(G359:G360)</f>
        <v>2123800</v>
      </c>
    </row>
    <row r="362" spans="1:7" ht="19.5" customHeight="1" x14ac:dyDescent="0.25">
      <c r="A362" s="5"/>
      <c r="B362" s="122"/>
      <c r="C362" s="124"/>
      <c r="D362" s="122"/>
      <c r="E362" s="126"/>
      <c r="G362" s="21"/>
    </row>
    <row r="363" spans="1:7" ht="19.5" customHeight="1" x14ac:dyDescent="0.3">
      <c r="A363" s="18" t="s">
        <v>101</v>
      </c>
      <c r="B363" s="5"/>
      <c r="C363" s="6" t="s">
        <v>12</v>
      </c>
      <c r="D363" s="6"/>
      <c r="E363" s="6" t="s">
        <v>13</v>
      </c>
    </row>
    <row r="364" spans="1:7" ht="19.5" customHeight="1" x14ac:dyDescent="0.3">
      <c r="A364" s="7"/>
      <c r="B364" s="37"/>
      <c r="C364" s="26"/>
      <c r="D364" s="8"/>
      <c r="E364" s="8"/>
    </row>
    <row r="365" spans="1:7" ht="19.5" customHeight="1" x14ac:dyDescent="0.3">
      <c r="A365" s="7"/>
      <c r="B365" s="37" t="s">
        <v>102</v>
      </c>
      <c r="C365" s="26">
        <f>5000*1</f>
        <v>5000</v>
      </c>
      <c r="D365" s="8"/>
      <c r="E365" s="8"/>
    </row>
    <row r="366" spans="1:7" ht="19.5" customHeight="1" x14ac:dyDescent="0.3">
      <c r="A366" s="5"/>
      <c r="B366" s="37" t="s">
        <v>90</v>
      </c>
      <c r="C366" s="26">
        <f>1000*51</f>
        <v>51000</v>
      </c>
      <c r="D366" s="8"/>
      <c r="E366" s="8"/>
    </row>
    <row r="367" spans="1:7" ht="19.5" customHeight="1" x14ac:dyDescent="0.3">
      <c r="A367" s="5"/>
      <c r="B367" s="37" t="s">
        <v>25</v>
      </c>
      <c r="C367" s="26">
        <f>500*2</f>
        <v>1000</v>
      </c>
      <c r="D367" s="8"/>
      <c r="E367" s="8"/>
    </row>
    <row r="368" spans="1:7" ht="19.5" customHeight="1" x14ac:dyDescent="0.3">
      <c r="A368" s="5"/>
      <c r="B368" s="37" t="s">
        <v>57</v>
      </c>
      <c r="C368" s="26">
        <f>200*8</f>
        <v>1600</v>
      </c>
      <c r="D368" s="8"/>
      <c r="E368" s="8"/>
      <c r="G368" s="21"/>
    </row>
    <row r="369" spans="1:7" ht="19.5" customHeight="1" x14ac:dyDescent="0.3">
      <c r="A369" s="5"/>
      <c r="B369" s="37" t="s">
        <v>82</v>
      </c>
      <c r="C369" s="26">
        <f>100*18</f>
        <v>1800</v>
      </c>
      <c r="D369" s="8"/>
      <c r="E369" s="8"/>
    </row>
    <row r="370" spans="1:7" ht="19.5" customHeight="1" x14ac:dyDescent="0.3">
      <c r="A370" s="5"/>
      <c r="B370" s="37" t="s">
        <v>28</v>
      </c>
      <c r="C370" s="26">
        <f>50*3</f>
        <v>150</v>
      </c>
      <c r="D370" s="8"/>
      <c r="E370" s="8"/>
      <c r="G370" s="22"/>
    </row>
    <row r="371" spans="1:7" ht="19.5" hidden="1" customHeight="1" x14ac:dyDescent="0.3">
      <c r="A371" s="5"/>
      <c r="B371" s="37"/>
      <c r="C371" s="26"/>
      <c r="D371" s="8"/>
      <c r="E371" s="8"/>
      <c r="F371" s="21"/>
      <c r="G371" s="21"/>
    </row>
    <row r="372" spans="1:7" ht="19.5" hidden="1" customHeight="1" x14ac:dyDescent="0.3">
      <c r="A372" s="5"/>
      <c r="B372" s="37"/>
      <c r="C372" s="26"/>
      <c r="D372" s="8"/>
      <c r="E372" s="8"/>
      <c r="F372" s="21"/>
      <c r="G372" s="21"/>
    </row>
    <row r="373" spans="1:7" ht="19.5" customHeight="1" x14ac:dyDescent="0.3">
      <c r="A373" s="5"/>
      <c r="B373" s="37"/>
      <c r="C373" s="26"/>
      <c r="D373" s="8"/>
      <c r="E373" s="8"/>
      <c r="F373" s="21"/>
      <c r="G373" s="21"/>
    </row>
    <row r="374" spans="1:7" ht="19.5" customHeight="1" x14ac:dyDescent="0.3">
      <c r="A374" s="5"/>
      <c r="B374" s="37" t="s">
        <v>98</v>
      </c>
      <c r="C374" s="26">
        <v>300000</v>
      </c>
      <c r="D374" s="8"/>
      <c r="E374" s="8"/>
      <c r="F374" s="21"/>
      <c r="G374" s="21"/>
    </row>
    <row r="375" spans="1:7" ht="19.5" customHeight="1" x14ac:dyDescent="0.3">
      <c r="A375" s="5"/>
      <c r="B375" s="37"/>
      <c r="C375" s="26"/>
      <c r="D375" s="8"/>
      <c r="E375" s="8"/>
      <c r="F375" s="21"/>
      <c r="G375" s="21"/>
    </row>
    <row r="376" spans="1:7" ht="19.5" customHeight="1" x14ac:dyDescent="0.3">
      <c r="A376" s="5"/>
      <c r="B376" s="40" t="s">
        <v>14</v>
      </c>
      <c r="C376" s="26">
        <v>295000</v>
      </c>
      <c r="D376" s="8"/>
      <c r="E376" s="8"/>
    </row>
    <row r="377" spans="1:7" ht="19.5" hidden="1" customHeight="1" x14ac:dyDescent="0.3">
      <c r="A377" s="5"/>
      <c r="B377" s="40" t="s">
        <v>15</v>
      </c>
      <c r="C377" s="26"/>
      <c r="D377" s="8"/>
      <c r="E377" s="8"/>
      <c r="F377" s="21"/>
    </row>
    <row r="378" spans="1:7" ht="19.5" hidden="1" customHeight="1" x14ac:dyDescent="0.3">
      <c r="A378" s="5"/>
      <c r="B378" s="40" t="s">
        <v>16</v>
      </c>
      <c r="C378" s="26"/>
      <c r="D378" s="8"/>
      <c r="E378" s="8"/>
    </row>
    <row r="379" spans="1:7" ht="19.5" customHeight="1" x14ac:dyDescent="0.3">
      <c r="A379" s="5"/>
      <c r="B379" s="40" t="s">
        <v>63</v>
      </c>
      <c r="C379" s="26">
        <f>246000+10000</f>
        <v>256000</v>
      </c>
      <c r="D379" s="8" t="s">
        <v>97</v>
      </c>
      <c r="E379" s="8"/>
    </row>
    <row r="380" spans="1:7" ht="19.5" hidden="1" customHeight="1" x14ac:dyDescent="0.3">
      <c r="A380" s="5"/>
      <c r="B380" s="40" t="s">
        <v>23</v>
      </c>
      <c r="C380" s="26"/>
      <c r="D380" s="8"/>
      <c r="E380" s="8"/>
    </row>
    <row r="381" spans="1:7" ht="19.5" customHeight="1" x14ac:dyDescent="0.3">
      <c r="A381" s="5"/>
      <c r="B381" s="40" t="s">
        <v>63</v>
      </c>
      <c r="C381" s="26">
        <f>136750+33500+31150</f>
        <v>201400</v>
      </c>
      <c r="D381" s="8"/>
      <c r="E381" s="8"/>
    </row>
    <row r="382" spans="1:7" ht="19.5" customHeight="1" x14ac:dyDescent="0.3">
      <c r="A382" s="5"/>
      <c r="B382" s="40" t="s">
        <v>21</v>
      </c>
      <c r="C382" s="26"/>
      <c r="D382" s="8"/>
      <c r="E382" s="8"/>
      <c r="F382" s="12" t="s">
        <v>17</v>
      </c>
      <c r="G382" s="13">
        <f>C364+C366+C368+C369+C372+C371+C367+C370+C383+C388+C389+C390+C365</f>
        <v>117550</v>
      </c>
    </row>
    <row r="383" spans="1:7" ht="19.5" customHeight="1" x14ac:dyDescent="0.3">
      <c r="A383" s="5"/>
      <c r="B383" s="16" t="s">
        <v>18</v>
      </c>
      <c r="C383" s="37"/>
      <c r="D383" s="8"/>
      <c r="E383" s="8"/>
      <c r="F383" s="12" t="s">
        <v>19</v>
      </c>
      <c r="G383" s="13">
        <f>SUM(C373:C382)</f>
        <v>1052400</v>
      </c>
    </row>
    <row r="384" spans="1:7" ht="19.5" customHeight="1" x14ac:dyDescent="0.25">
      <c r="A384" s="5"/>
      <c r="B384" s="121" t="s">
        <v>20</v>
      </c>
      <c r="C384" s="123">
        <f>SUM(C364:C383)</f>
        <v>1112950</v>
      </c>
      <c r="D384" s="121" t="s">
        <v>20</v>
      </c>
      <c r="E384" s="125">
        <f>SUM(E366:E382)</f>
        <v>0</v>
      </c>
      <c r="F384" s="14" t="s">
        <v>86</v>
      </c>
      <c r="G384" s="38">
        <f>SUM(G382:G383)</f>
        <v>1169950</v>
      </c>
    </row>
    <row r="385" spans="1:7" ht="19.5" customHeight="1" x14ac:dyDescent="0.25">
      <c r="A385" s="5"/>
      <c r="B385" s="122"/>
      <c r="C385" s="124"/>
      <c r="D385" s="122"/>
      <c r="E385" s="126"/>
      <c r="G385" s="21"/>
    </row>
    <row r="386" spans="1:7" ht="19.5" customHeight="1" x14ac:dyDescent="0.3">
      <c r="A386" s="18" t="s">
        <v>103</v>
      </c>
      <c r="B386" s="5"/>
      <c r="C386" s="6" t="s">
        <v>12</v>
      </c>
      <c r="D386" s="6"/>
      <c r="E386" s="6" t="s">
        <v>13</v>
      </c>
    </row>
    <row r="387" spans="1:7" ht="19.5" customHeight="1" x14ac:dyDescent="0.3">
      <c r="A387" s="7"/>
      <c r="B387" s="37"/>
      <c r="C387" s="26"/>
      <c r="D387" s="8"/>
      <c r="E387" s="8"/>
    </row>
    <row r="388" spans="1:7" ht="19.5" customHeight="1" x14ac:dyDescent="0.3">
      <c r="A388" s="7"/>
      <c r="B388" s="37" t="s">
        <v>102</v>
      </c>
      <c r="C388" s="26">
        <f>5000*1</f>
        <v>5000</v>
      </c>
      <c r="D388" s="8"/>
      <c r="E388" s="8"/>
    </row>
    <row r="389" spans="1:7" ht="19.5" customHeight="1" x14ac:dyDescent="0.3">
      <c r="A389" s="5"/>
      <c r="B389" s="37" t="s">
        <v>90</v>
      </c>
      <c r="C389" s="26">
        <f>1000*51</f>
        <v>51000</v>
      </c>
      <c r="D389" s="8"/>
      <c r="E389" s="8"/>
    </row>
    <row r="390" spans="1:7" ht="19.5" customHeight="1" x14ac:dyDescent="0.3">
      <c r="A390" s="5"/>
      <c r="B390" s="37" t="s">
        <v>25</v>
      </c>
      <c r="C390" s="26">
        <f>500*2</f>
        <v>1000</v>
      </c>
      <c r="D390" s="8"/>
      <c r="E390" s="8"/>
    </row>
    <row r="391" spans="1:7" ht="19.5" customHeight="1" x14ac:dyDescent="0.3">
      <c r="A391" s="5"/>
      <c r="B391" s="37" t="s">
        <v>57</v>
      </c>
      <c r="C391" s="26">
        <f>200*8</f>
        <v>1600</v>
      </c>
      <c r="D391" s="8"/>
      <c r="E391" s="8"/>
      <c r="G391" s="21"/>
    </row>
    <row r="392" spans="1:7" ht="19.5" customHeight="1" x14ac:dyDescent="0.3">
      <c r="A392" s="5"/>
      <c r="B392" s="37" t="s">
        <v>82</v>
      </c>
      <c r="C392" s="26">
        <f>100*18</f>
        <v>1800</v>
      </c>
      <c r="D392" s="8"/>
      <c r="E392" s="8"/>
    </row>
    <row r="393" spans="1:7" ht="19.5" customHeight="1" x14ac:dyDescent="0.3">
      <c r="A393" s="5"/>
      <c r="B393" s="37" t="s">
        <v>28</v>
      </c>
      <c r="C393" s="26">
        <f>50*3</f>
        <v>150</v>
      </c>
      <c r="D393" s="8"/>
      <c r="E393" s="8"/>
      <c r="G393" s="22"/>
    </row>
    <row r="394" spans="1:7" ht="19.5" hidden="1" customHeight="1" x14ac:dyDescent="0.3">
      <c r="A394" s="5"/>
      <c r="B394" s="37"/>
      <c r="C394" s="26"/>
      <c r="D394" s="8"/>
      <c r="E394" s="8"/>
      <c r="F394" s="21"/>
      <c r="G394" s="21"/>
    </row>
    <row r="395" spans="1:7" ht="19.5" hidden="1" customHeight="1" x14ac:dyDescent="0.3">
      <c r="A395" s="5"/>
      <c r="B395" s="37"/>
      <c r="C395" s="26"/>
      <c r="D395" s="8"/>
      <c r="E395" s="8"/>
      <c r="F395" s="21"/>
      <c r="G395" s="21"/>
    </row>
    <row r="396" spans="1:7" ht="19.5" customHeight="1" x14ac:dyDescent="0.3">
      <c r="A396" s="5"/>
      <c r="B396" s="37"/>
      <c r="C396" s="26"/>
      <c r="D396" s="8"/>
      <c r="E396" s="8"/>
      <c r="F396" s="21"/>
      <c r="G396" s="21"/>
    </row>
    <row r="397" spans="1:7" ht="19.5" customHeight="1" x14ac:dyDescent="0.3">
      <c r="A397" s="5"/>
      <c r="B397" s="37" t="s">
        <v>98</v>
      </c>
      <c r="C397" s="26">
        <v>300000</v>
      </c>
      <c r="D397" s="8"/>
      <c r="E397" s="8"/>
      <c r="F397" s="21"/>
      <c r="G397" s="21"/>
    </row>
    <row r="398" spans="1:7" ht="19.5" customHeight="1" x14ac:dyDescent="0.3">
      <c r="A398" s="5"/>
      <c r="B398" s="37"/>
      <c r="C398" s="26"/>
      <c r="D398" s="8"/>
      <c r="E398" s="8"/>
      <c r="F398" s="21"/>
      <c r="G398" s="21"/>
    </row>
    <row r="399" spans="1:7" ht="19.5" customHeight="1" x14ac:dyDescent="0.3">
      <c r="A399" s="5"/>
      <c r="B399" s="40" t="s">
        <v>14</v>
      </c>
      <c r="C399" s="26">
        <v>295000</v>
      </c>
      <c r="D399" s="8"/>
      <c r="E399" s="8"/>
    </row>
    <row r="400" spans="1:7" ht="19.5" hidden="1" customHeight="1" x14ac:dyDescent="0.3">
      <c r="A400" s="5"/>
      <c r="B400" s="40" t="s">
        <v>15</v>
      </c>
      <c r="C400" s="26"/>
      <c r="D400" s="8"/>
      <c r="E400" s="8"/>
      <c r="F400" s="21"/>
    </row>
    <row r="401" spans="1:7" ht="19.5" hidden="1" customHeight="1" x14ac:dyDescent="0.3">
      <c r="A401" s="5"/>
      <c r="B401" s="40" t="s">
        <v>16</v>
      </c>
      <c r="C401" s="26"/>
      <c r="D401" s="8"/>
      <c r="E401" s="8"/>
    </row>
    <row r="402" spans="1:7" ht="19.5" customHeight="1" x14ac:dyDescent="0.3">
      <c r="A402" s="5"/>
      <c r="B402" s="40" t="s">
        <v>63</v>
      </c>
      <c r="C402" s="26">
        <f>246000+10000</f>
        <v>256000</v>
      </c>
      <c r="D402" s="8" t="s">
        <v>97</v>
      </c>
      <c r="E402" s="8"/>
    </row>
    <row r="403" spans="1:7" ht="19.5" hidden="1" customHeight="1" x14ac:dyDescent="0.3">
      <c r="A403" s="5"/>
      <c r="B403" s="40" t="s">
        <v>23</v>
      </c>
      <c r="C403" s="26"/>
      <c r="D403" s="8"/>
      <c r="E403" s="8"/>
    </row>
    <row r="404" spans="1:7" ht="19.5" customHeight="1" x14ac:dyDescent="0.3">
      <c r="A404" s="5"/>
      <c r="B404" s="40" t="s">
        <v>63</v>
      </c>
      <c r="C404" s="26">
        <f>136750+33500+31150</f>
        <v>201400</v>
      </c>
      <c r="D404" s="8"/>
      <c r="E404" s="8"/>
    </row>
    <row r="405" spans="1:7" ht="19.5" customHeight="1" x14ac:dyDescent="0.3">
      <c r="A405" s="5"/>
      <c r="B405" s="40" t="s">
        <v>21</v>
      </c>
      <c r="C405" s="26"/>
      <c r="D405" s="8"/>
      <c r="E405" s="8"/>
      <c r="F405" s="12" t="s">
        <v>17</v>
      </c>
      <c r="G405" s="13">
        <f>C387+C389+C391+C392+C395+C394+C390+C393+C406+C411+C412+C413+C388</f>
        <v>117550</v>
      </c>
    </row>
    <row r="406" spans="1:7" ht="19.5" customHeight="1" x14ac:dyDescent="0.3">
      <c r="A406" s="5"/>
      <c r="B406" s="16" t="s">
        <v>18</v>
      </c>
      <c r="C406" s="37"/>
      <c r="D406" s="8"/>
      <c r="E406" s="8"/>
      <c r="F406" s="12" t="s">
        <v>19</v>
      </c>
      <c r="G406" s="13">
        <f>SUM(C396:C405)</f>
        <v>1052400</v>
      </c>
    </row>
    <row r="407" spans="1:7" ht="19.5" customHeight="1" x14ac:dyDescent="0.25">
      <c r="A407" s="5"/>
      <c r="B407" s="121" t="s">
        <v>20</v>
      </c>
      <c r="C407" s="123">
        <f>SUM(C387:C406)</f>
        <v>1112950</v>
      </c>
      <c r="D407" s="121" t="s">
        <v>20</v>
      </c>
      <c r="E407" s="125">
        <f>SUM(E389:E405)</f>
        <v>0</v>
      </c>
      <c r="F407" s="14" t="s">
        <v>86</v>
      </c>
      <c r="G407" s="38">
        <f>SUM(G405:G406)</f>
        <v>1169950</v>
      </c>
    </row>
    <row r="408" spans="1:7" ht="19.5" customHeight="1" x14ac:dyDescent="0.25">
      <c r="A408" s="5"/>
      <c r="B408" s="122"/>
      <c r="C408" s="124"/>
      <c r="D408" s="122"/>
      <c r="E408" s="126"/>
      <c r="G408" s="21"/>
    </row>
    <row r="409" spans="1:7" ht="19.5" customHeight="1" x14ac:dyDescent="0.3">
      <c r="A409" s="18" t="s">
        <v>104</v>
      </c>
      <c r="B409" s="5"/>
      <c r="C409" s="6" t="s">
        <v>12</v>
      </c>
      <c r="D409" s="6"/>
      <c r="E409" s="6" t="s">
        <v>13</v>
      </c>
    </row>
    <row r="410" spans="1:7" ht="19.5" customHeight="1" x14ac:dyDescent="0.3">
      <c r="A410" s="7"/>
      <c r="B410" s="37"/>
      <c r="C410" s="26"/>
      <c r="D410" s="8"/>
      <c r="E410" s="8"/>
    </row>
    <row r="411" spans="1:7" ht="19.5" customHeight="1" x14ac:dyDescent="0.3">
      <c r="A411" s="7"/>
      <c r="B411" s="37" t="s">
        <v>102</v>
      </c>
      <c r="C411" s="26">
        <f>5000*1</f>
        <v>5000</v>
      </c>
      <c r="D411" s="8"/>
      <c r="E411" s="8"/>
    </row>
    <row r="412" spans="1:7" ht="19.5" customHeight="1" x14ac:dyDescent="0.3">
      <c r="A412" s="5"/>
      <c r="B412" s="37" t="s">
        <v>90</v>
      </c>
      <c r="C412" s="26">
        <f>1000*51</f>
        <v>51000</v>
      </c>
      <c r="D412" s="8"/>
      <c r="E412" s="8"/>
    </row>
    <row r="413" spans="1:7" ht="19.5" customHeight="1" x14ac:dyDescent="0.3">
      <c r="A413" s="5"/>
      <c r="B413" s="37" t="s">
        <v>25</v>
      </c>
      <c r="C413" s="26">
        <f>500*2</f>
        <v>1000</v>
      </c>
      <c r="D413" s="8"/>
      <c r="E413" s="8"/>
    </row>
    <row r="414" spans="1:7" ht="19.5" customHeight="1" x14ac:dyDescent="0.3">
      <c r="A414" s="5"/>
      <c r="B414" s="37" t="s">
        <v>57</v>
      </c>
      <c r="C414" s="26">
        <f>200*8</f>
        <v>1600</v>
      </c>
      <c r="D414" s="8"/>
      <c r="E414" s="8"/>
      <c r="G414" s="21"/>
    </row>
    <row r="415" spans="1:7" ht="19.5" customHeight="1" x14ac:dyDescent="0.3">
      <c r="A415" s="5"/>
      <c r="B415" s="37" t="s">
        <v>82</v>
      </c>
      <c r="C415" s="26">
        <f>100*18</f>
        <v>1800</v>
      </c>
      <c r="D415" s="8"/>
      <c r="E415" s="8"/>
    </row>
    <row r="416" spans="1:7" ht="19.5" customHeight="1" x14ac:dyDescent="0.3">
      <c r="A416" s="5"/>
      <c r="B416" s="37" t="s">
        <v>28</v>
      </c>
      <c r="C416" s="26">
        <f>50*3</f>
        <v>150</v>
      </c>
      <c r="D416" s="8"/>
      <c r="E416" s="8"/>
      <c r="G416" s="22"/>
    </row>
    <row r="417" spans="1:7" ht="19.5" customHeight="1" x14ac:dyDescent="0.3">
      <c r="A417" s="5"/>
      <c r="B417" s="37"/>
      <c r="C417" s="26"/>
      <c r="D417" s="8"/>
      <c r="E417" s="8"/>
      <c r="F417" s="21"/>
      <c r="G417" s="21"/>
    </row>
    <row r="418" spans="1:7" ht="19.5" customHeight="1" x14ac:dyDescent="0.3">
      <c r="A418" s="5"/>
      <c r="B418" s="37"/>
      <c r="C418" s="26"/>
      <c r="D418" s="8"/>
      <c r="E418" s="8"/>
      <c r="F418" s="21"/>
      <c r="G418" s="21"/>
    </row>
    <row r="419" spans="1:7" ht="19.5" customHeight="1" x14ac:dyDescent="0.3">
      <c r="A419" s="5"/>
      <c r="B419" s="37"/>
      <c r="C419" s="26"/>
      <c r="D419" s="8"/>
      <c r="E419" s="8"/>
      <c r="F419" s="21"/>
      <c r="G419" s="21"/>
    </row>
    <row r="420" spans="1:7" ht="19.5" customHeight="1" x14ac:dyDescent="0.3">
      <c r="A420" s="5"/>
      <c r="B420" s="37" t="s">
        <v>98</v>
      </c>
      <c r="C420" s="26">
        <v>300000</v>
      </c>
      <c r="D420" s="8" t="s">
        <v>105</v>
      </c>
      <c r="E420" s="8"/>
      <c r="F420" s="21"/>
      <c r="G420" s="21"/>
    </row>
    <row r="421" spans="1:7" ht="19.5" customHeight="1" x14ac:dyDescent="0.3">
      <c r="A421" s="5"/>
      <c r="B421" s="37"/>
      <c r="C421" s="26"/>
      <c r="D421" s="8"/>
      <c r="E421" s="8"/>
      <c r="F421" s="21"/>
      <c r="G421" s="21"/>
    </row>
    <row r="422" spans="1:7" ht="19.5" customHeight="1" x14ac:dyDescent="0.3">
      <c r="A422" s="5"/>
      <c r="B422" s="40" t="s">
        <v>14</v>
      </c>
      <c r="C422" s="26"/>
      <c r="D422" s="8"/>
      <c r="E422" s="8"/>
    </row>
    <row r="423" spans="1:7" ht="19.5" customHeight="1" x14ac:dyDescent="0.3">
      <c r="A423" s="5"/>
      <c r="B423" s="40" t="s">
        <v>15</v>
      </c>
      <c r="C423" s="26"/>
      <c r="D423" s="8"/>
      <c r="E423" s="8"/>
      <c r="F423" s="21"/>
    </row>
    <row r="424" spans="1:7" ht="19.5" customHeight="1" x14ac:dyDescent="0.3">
      <c r="A424" s="5"/>
      <c r="B424" s="40" t="s">
        <v>16</v>
      </c>
      <c r="C424" s="26"/>
      <c r="D424" s="8"/>
      <c r="E424" s="8"/>
    </row>
    <row r="425" spans="1:7" ht="19.5" customHeight="1" x14ac:dyDescent="0.3">
      <c r="A425" s="5"/>
      <c r="B425" s="40" t="s">
        <v>63</v>
      </c>
      <c r="C425" s="26">
        <f>246000+10000</f>
        <v>256000</v>
      </c>
      <c r="D425" s="8" t="s">
        <v>97</v>
      </c>
      <c r="E425" s="8"/>
    </row>
    <row r="426" spans="1:7" ht="19.5" customHeight="1" x14ac:dyDescent="0.3">
      <c r="A426" s="5"/>
      <c r="B426" s="40" t="s">
        <v>23</v>
      </c>
      <c r="C426" s="26"/>
      <c r="D426" s="8"/>
      <c r="E426" s="8"/>
    </row>
    <row r="427" spans="1:7" ht="19.5" customHeight="1" x14ac:dyDescent="0.3">
      <c r="A427" s="5"/>
      <c r="B427" s="40" t="s">
        <v>63</v>
      </c>
      <c r="C427" s="26">
        <f>136750+33500+31150</f>
        <v>201400</v>
      </c>
      <c r="D427" s="8"/>
      <c r="E427" s="8"/>
    </row>
    <row r="428" spans="1:7" ht="19.5" customHeight="1" x14ac:dyDescent="0.3">
      <c r="A428" s="5"/>
      <c r="B428" s="40" t="s">
        <v>21</v>
      </c>
      <c r="C428" s="26"/>
      <c r="D428" s="8"/>
      <c r="E428" s="8"/>
      <c r="F428" s="12" t="s">
        <v>17</v>
      </c>
      <c r="G428" s="13">
        <f>SUM(C411+C412+C413+C414+C415+C416)</f>
        <v>60550</v>
      </c>
    </row>
    <row r="429" spans="1:7" ht="19.5" customHeight="1" x14ac:dyDescent="0.3">
      <c r="A429" s="5"/>
      <c r="B429" s="16" t="s">
        <v>18</v>
      </c>
      <c r="C429" s="37"/>
      <c r="D429" s="8"/>
      <c r="E429" s="8"/>
      <c r="F429" s="12" t="s">
        <v>19</v>
      </c>
      <c r="G429" s="13">
        <f>SUM(C419:C428)</f>
        <v>757400</v>
      </c>
    </row>
    <row r="430" spans="1:7" ht="19.5" customHeight="1" x14ac:dyDescent="0.25">
      <c r="A430" s="5"/>
      <c r="B430" s="121" t="s">
        <v>20</v>
      </c>
      <c r="C430" s="123">
        <f>SUM(C410:C429)</f>
        <v>817950</v>
      </c>
      <c r="D430" s="121" t="s">
        <v>20</v>
      </c>
      <c r="E430" s="125">
        <f>SUM(E412:E428)</f>
        <v>0</v>
      </c>
      <c r="F430" s="14" t="s">
        <v>86</v>
      </c>
      <c r="G430" s="38">
        <f>SUM(G428:G429)</f>
        <v>817950</v>
      </c>
    </row>
    <row r="431" spans="1:7" ht="19.5" customHeight="1" x14ac:dyDescent="0.25">
      <c r="A431" s="5"/>
      <c r="B431" s="122"/>
      <c r="C431" s="124"/>
      <c r="D431" s="122"/>
      <c r="E431" s="126"/>
      <c r="G431" s="21"/>
    </row>
    <row r="434" spans="1:7" ht="19.5" customHeight="1" x14ac:dyDescent="0.25">
      <c r="C434" s="32"/>
    </row>
    <row r="435" spans="1:7" ht="19.5" customHeight="1" x14ac:dyDescent="0.3">
      <c r="A435" s="18" t="s">
        <v>106</v>
      </c>
      <c r="B435" s="5"/>
      <c r="C435" s="6" t="s">
        <v>12</v>
      </c>
      <c r="D435" s="6"/>
      <c r="E435" s="6" t="s">
        <v>13</v>
      </c>
    </row>
    <row r="436" spans="1:7" ht="19.5" customHeight="1" x14ac:dyDescent="0.3">
      <c r="A436" s="7"/>
      <c r="B436" s="37"/>
      <c r="C436" s="26"/>
      <c r="D436" s="8"/>
      <c r="E436" s="8"/>
    </row>
    <row r="437" spans="1:7" ht="19.5" customHeight="1" x14ac:dyDescent="0.3">
      <c r="A437" s="7"/>
      <c r="B437" s="37" t="s">
        <v>102</v>
      </c>
      <c r="C437" s="26">
        <f>5000*1</f>
        <v>5000</v>
      </c>
      <c r="D437" s="8"/>
      <c r="E437" s="8"/>
    </row>
    <row r="438" spans="1:7" ht="19.5" customHeight="1" x14ac:dyDescent="0.3">
      <c r="A438" s="5"/>
      <c r="B438" s="37" t="s">
        <v>90</v>
      </c>
      <c r="C438" s="26">
        <f>1000*51</f>
        <v>51000</v>
      </c>
      <c r="D438" s="8"/>
      <c r="E438" s="8"/>
    </row>
    <row r="439" spans="1:7" ht="19.5" customHeight="1" x14ac:dyDescent="0.3">
      <c r="A439" s="5"/>
      <c r="B439" s="37" t="s">
        <v>25</v>
      </c>
      <c r="C439" s="26">
        <f>500*2</f>
        <v>1000</v>
      </c>
      <c r="D439" s="8"/>
      <c r="E439" s="8"/>
    </row>
    <row r="440" spans="1:7" ht="19.5" customHeight="1" x14ac:dyDescent="0.3">
      <c r="A440" s="5"/>
      <c r="B440" s="37" t="s">
        <v>57</v>
      </c>
      <c r="C440" s="26">
        <f>200*8</f>
        <v>1600</v>
      </c>
      <c r="D440" s="8"/>
      <c r="E440" s="8"/>
      <c r="G440" s="21"/>
    </row>
    <row r="441" spans="1:7" ht="19.5" customHeight="1" x14ac:dyDescent="0.3">
      <c r="A441" s="5"/>
      <c r="B441" s="37" t="s">
        <v>82</v>
      </c>
      <c r="C441" s="26">
        <f>100*18</f>
        <v>1800</v>
      </c>
      <c r="D441" s="8"/>
      <c r="E441" s="8"/>
    </row>
    <row r="442" spans="1:7" ht="19.5" customHeight="1" x14ac:dyDescent="0.3">
      <c r="A442" s="5"/>
      <c r="B442" s="37" t="s">
        <v>28</v>
      </c>
      <c r="C442" s="26">
        <f>50*3</f>
        <v>150</v>
      </c>
      <c r="D442" s="8"/>
      <c r="E442" s="8"/>
      <c r="G442" s="22"/>
    </row>
    <row r="443" spans="1:7" ht="19.5" customHeight="1" x14ac:dyDescent="0.3">
      <c r="A443" s="5"/>
      <c r="B443" s="37"/>
      <c r="C443" s="26"/>
      <c r="D443" s="8"/>
      <c r="E443" s="8"/>
      <c r="F443" s="21"/>
      <c r="G443" s="21"/>
    </row>
    <row r="444" spans="1:7" ht="19.5" customHeight="1" x14ac:dyDescent="0.3">
      <c r="A444" s="5"/>
      <c r="B444" s="37"/>
      <c r="C444" s="26"/>
      <c r="D444" s="8"/>
      <c r="E444" s="8"/>
      <c r="F444" s="21"/>
      <c r="G444" s="21"/>
    </row>
    <row r="445" spans="1:7" ht="19.5" customHeight="1" x14ac:dyDescent="0.3">
      <c r="A445" s="5"/>
      <c r="B445" s="37"/>
      <c r="C445" s="26"/>
      <c r="D445" s="8"/>
      <c r="E445" s="8"/>
      <c r="F445" s="21"/>
      <c r="G445" s="21"/>
    </row>
    <row r="446" spans="1:7" ht="19.5" customHeight="1" x14ac:dyDescent="0.3">
      <c r="A446" s="5"/>
      <c r="B446" s="37" t="s">
        <v>98</v>
      </c>
      <c r="C446" s="24">
        <v>300000</v>
      </c>
      <c r="D446" s="8" t="s">
        <v>105</v>
      </c>
      <c r="E446" s="8"/>
      <c r="F446" s="21"/>
      <c r="G446" s="21"/>
    </row>
    <row r="447" spans="1:7" ht="19.5" customHeight="1" x14ac:dyDescent="0.3">
      <c r="A447" s="5"/>
      <c r="B447" s="37"/>
      <c r="C447" s="26"/>
      <c r="D447" s="8"/>
      <c r="E447" s="8"/>
      <c r="F447" s="21"/>
      <c r="G447" s="21"/>
    </row>
    <row r="448" spans="1:7" ht="19.5" customHeight="1" x14ac:dyDescent="0.3">
      <c r="A448" s="5"/>
      <c r="B448" s="40" t="s">
        <v>14</v>
      </c>
      <c r="C448" s="24">
        <v>166000</v>
      </c>
      <c r="D448" s="8"/>
      <c r="E448" s="8"/>
    </row>
    <row r="449" spans="1:7" ht="19.5" customHeight="1" x14ac:dyDescent="0.3">
      <c r="A449" s="5"/>
      <c r="B449" s="40" t="s">
        <v>15</v>
      </c>
      <c r="C449" s="26"/>
      <c r="D449" s="8"/>
      <c r="E449" s="8"/>
      <c r="F449" s="21"/>
    </row>
    <row r="450" spans="1:7" ht="19.5" customHeight="1" x14ac:dyDescent="0.3">
      <c r="A450" s="5"/>
      <c r="B450" s="40" t="s">
        <v>16</v>
      </c>
      <c r="C450" s="26"/>
      <c r="D450" s="8"/>
      <c r="E450" s="8"/>
    </row>
    <row r="451" spans="1:7" ht="19.5" customHeight="1" x14ac:dyDescent="0.3">
      <c r="A451" s="5"/>
      <c r="B451" s="40" t="s">
        <v>63</v>
      </c>
      <c r="C451" s="24">
        <f>246000+10000</f>
        <v>256000</v>
      </c>
      <c r="D451" s="8" t="s">
        <v>97</v>
      </c>
      <c r="E451" s="8"/>
    </row>
    <row r="452" spans="1:7" ht="19.5" customHeight="1" x14ac:dyDescent="0.3">
      <c r="A452" s="5"/>
      <c r="B452" s="40" t="s">
        <v>23</v>
      </c>
      <c r="C452" s="24">
        <v>2700000</v>
      </c>
      <c r="D452" s="8"/>
      <c r="E452" s="8"/>
    </row>
    <row r="453" spans="1:7" ht="19.5" customHeight="1" x14ac:dyDescent="0.3">
      <c r="A453" s="5"/>
      <c r="B453" s="40" t="s">
        <v>63</v>
      </c>
      <c r="C453" s="24">
        <f>136750+33500+31150</f>
        <v>201400</v>
      </c>
      <c r="D453" s="8"/>
      <c r="E453" s="8"/>
    </row>
    <row r="454" spans="1:7" ht="19.5" customHeight="1" x14ac:dyDescent="0.3">
      <c r="A454" s="5"/>
      <c r="B454" s="40" t="s">
        <v>21</v>
      </c>
      <c r="C454" s="24">
        <v>3000</v>
      </c>
      <c r="D454" s="8"/>
      <c r="E454" s="8"/>
      <c r="F454" s="12" t="s">
        <v>17</v>
      </c>
      <c r="G454" s="13">
        <f>SUM(C437+C438+C439+C440+C441+C442)</f>
        <v>60550</v>
      </c>
    </row>
    <row r="455" spans="1:7" ht="19.5" customHeight="1" x14ac:dyDescent="0.3">
      <c r="A455" s="5"/>
      <c r="B455" s="16" t="s">
        <v>18</v>
      </c>
      <c r="C455" s="37"/>
      <c r="D455" s="8"/>
      <c r="E455" s="8"/>
      <c r="F455" s="12" t="s">
        <v>19</v>
      </c>
      <c r="G455" s="13">
        <f>SUM(C445:C454)</f>
        <v>3626400</v>
      </c>
    </row>
    <row r="456" spans="1:7" ht="19.5" customHeight="1" x14ac:dyDescent="0.25">
      <c r="A456" s="5"/>
      <c r="B456" s="121" t="s">
        <v>20</v>
      </c>
      <c r="C456" s="123">
        <f>SUM(C436:C455)</f>
        <v>3686950</v>
      </c>
      <c r="D456" s="121" t="s">
        <v>20</v>
      </c>
      <c r="E456" s="125">
        <f>SUM(E438:E454)</f>
        <v>0</v>
      </c>
      <c r="F456" s="14" t="s">
        <v>86</v>
      </c>
      <c r="G456" s="38">
        <f>SUM(G454:G455)</f>
        <v>3686950</v>
      </c>
    </row>
    <row r="457" spans="1:7" ht="19.5" customHeight="1" x14ac:dyDescent="0.25">
      <c r="A457" s="5"/>
      <c r="B457" s="122"/>
      <c r="C457" s="124"/>
      <c r="D457" s="122"/>
      <c r="E457" s="126"/>
      <c r="G457" s="21"/>
    </row>
    <row r="458" spans="1:7" ht="19.5" customHeight="1" x14ac:dyDescent="0.3">
      <c r="A458" s="18" t="s">
        <v>107</v>
      </c>
      <c r="B458" s="5"/>
      <c r="C458" s="6" t="s">
        <v>12</v>
      </c>
      <c r="D458" s="6"/>
      <c r="E458" s="6" t="s">
        <v>13</v>
      </c>
    </row>
    <row r="459" spans="1:7" ht="19.5" customHeight="1" x14ac:dyDescent="0.3">
      <c r="A459" s="7"/>
      <c r="B459" s="37"/>
      <c r="C459" s="26"/>
      <c r="D459" s="8"/>
      <c r="E459" s="8"/>
    </row>
    <row r="460" spans="1:7" ht="19.5" customHeight="1" x14ac:dyDescent="0.3">
      <c r="A460" s="7"/>
      <c r="B460" s="37" t="s">
        <v>102</v>
      </c>
      <c r="C460" s="26">
        <f>5000*1</f>
        <v>5000</v>
      </c>
      <c r="D460" s="8"/>
      <c r="E460" s="8"/>
    </row>
    <row r="461" spans="1:7" ht="19.5" customHeight="1" x14ac:dyDescent="0.3">
      <c r="A461" s="5"/>
      <c r="B461" s="37" t="s">
        <v>90</v>
      </c>
      <c r="C461" s="26">
        <f>1000*51</f>
        <v>51000</v>
      </c>
      <c r="D461" s="8"/>
      <c r="E461" s="8"/>
    </row>
    <row r="462" spans="1:7" ht="19.5" customHeight="1" x14ac:dyDescent="0.3">
      <c r="A462" s="5"/>
      <c r="B462" s="37" t="s">
        <v>25</v>
      </c>
      <c r="C462" s="26">
        <f>500*2</f>
        <v>1000</v>
      </c>
      <c r="D462" s="8"/>
      <c r="E462" s="8"/>
    </row>
    <row r="463" spans="1:7" ht="19.5" customHeight="1" x14ac:dyDescent="0.3">
      <c r="A463" s="5"/>
      <c r="B463" s="37" t="s">
        <v>57</v>
      </c>
      <c r="C463" s="26">
        <f>200*8</f>
        <v>1600</v>
      </c>
      <c r="D463" s="8"/>
      <c r="E463" s="8"/>
      <c r="G463" s="21"/>
    </row>
    <row r="464" spans="1:7" ht="19.5" customHeight="1" x14ac:dyDescent="0.3">
      <c r="A464" s="5"/>
      <c r="B464" s="37" t="s">
        <v>82</v>
      </c>
      <c r="C464" s="26">
        <f>100*18</f>
        <v>1800</v>
      </c>
      <c r="D464" s="8"/>
      <c r="E464" s="8"/>
    </row>
    <row r="465" spans="1:7" ht="19.5" customHeight="1" x14ac:dyDescent="0.3">
      <c r="A465" s="5"/>
      <c r="B465" s="37" t="s">
        <v>28</v>
      </c>
      <c r="C465" s="26">
        <f>50*3</f>
        <v>150</v>
      </c>
      <c r="D465" s="8"/>
      <c r="E465" s="8"/>
      <c r="G465" s="22"/>
    </row>
    <row r="466" spans="1:7" ht="19.5" customHeight="1" x14ac:dyDescent="0.3">
      <c r="A466" s="5"/>
      <c r="B466" s="37"/>
      <c r="C466" s="26"/>
      <c r="D466" s="8"/>
      <c r="E466" s="8"/>
      <c r="F466" s="21"/>
      <c r="G466" s="21"/>
    </row>
    <row r="467" spans="1:7" ht="19.5" customHeight="1" x14ac:dyDescent="0.3">
      <c r="A467" s="5"/>
      <c r="B467" s="37"/>
      <c r="C467" s="26"/>
      <c r="D467" s="8"/>
      <c r="E467" s="8"/>
      <c r="F467" s="21"/>
      <c r="G467" s="21"/>
    </row>
    <row r="468" spans="1:7" ht="19.5" customHeight="1" x14ac:dyDescent="0.3">
      <c r="A468" s="5"/>
      <c r="B468" s="37"/>
      <c r="C468" s="26"/>
      <c r="D468" s="8"/>
      <c r="E468" s="8"/>
      <c r="F468" s="21"/>
      <c r="G468" s="21"/>
    </row>
    <row r="469" spans="1:7" ht="19.5" customHeight="1" x14ac:dyDescent="0.3">
      <c r="A469" s="5"/>
      <c r="B469" s="37" t="s">
        <v>98</v>
      </c>
      <c r="C469" s="24">
        <v>300000</v>
      </c>
      <c r="D469" s="8" t="s">
        <v>108</v>
      </c>
      <c r="E469" s="8"/>
      <c r="F469" s="21"/>
      <c r="G469" s="21"/>
    </row>
    <row r="470" spans="1:7" ht="19.5" customHeight="1" x14ac:dyDescent="0.3">
      <c r="A470" s="5"/>
      <c r="B470" s="37"/>
      <c r="C470" s="26"/>
      <c r="D470" s="8"/>
      <c r="E470" s="8"/>
      <c r="F470" s="21"/>
      <c r="G470" s="21"/>
    </row>
    <row r="471" spans="1:7" ht="19.5" customHeight="1" x14ac:dyDescent="0.3">
      <c r="A471" s="5"/>
      <c r="B471" s="40" t="s">
        <v>14</v>
      </c>
      <c r="C471" s="24">
        <v>166000</v>
      </c>
      <c r="D471" s="8"/>
      <c r="E471" s="8"/>
    </row>
    <row r="472" spans="1:7" ht="19.5" customHeight="1" x14ac:dyDescent="0.3">
      <c r="A472" s="5"/>
      <c r="B472" s="40" t="s">
        <v>15</v>
      </c>
      <c r="C472" s="26"/>
      <c r="D472" s="8"/>
      <c r="E472" s="8"/>
      <c r="F472" s="21"/>
    </row>
    <row r="473" spans="1:7" ht="19.5" customHeight="1" x14ac:dyDescent="0.3">
      <c r="A473" s="5"/>
      <c r="B473" s="40" t="s">
        <v>16</v>
      </c>
      <c r="C473" s="26"/>
      <c r="D473" s="8"/>
      <c r="E473" s="8"/>
    </row>
    <row r="474" spans="1:7" ht="19.5" customHeight="1" x14ac:dyDescent="0.3">
      <c r="A474" s="5"/>
      <c r="B474" s="40" t="s">
        <v>63</v>
      </c>
      <c r="C474" s="24">
        <f>246000+10000</f>
        <v>256000</v>
      </c>
      <c r="D474" s="8" t="s">
        <v>108</v>
      </c>
      <c r="E474" s="8"/>
    </row>
    <row r="475" spans="1:7" ht="19.5" customHeight="1" x14ac:dyDescent="0.3">
      <c r="A475" s="5"/>
      <c r="B475" s="40" t="s">
        <v>23</v>
      </c>
      <c r="C475" s="24">
        <v>2700000</v>
      </c>
      <c r="D475" s="8" t="s">
        <v>109</v>
      </c>
      <c r="E475" s="8"/>
    </row>
    <row r="476" spans="1:7" ht="19.5" customHeight="1" x14ac:dyDescent="0.3">
      <c r="A476" s="5"/>
      <c r="B476" s="40" t="s">
        <v>63</v>
      </c>
      <c r="C476" s="24">
        <f>136750+33500+31150</f>
        <v>201400</v>
      </c>
      <c r="D476" s="8"/>
      <c r="E476" s="8"/>
    </row>
    <row r="477" spans="1:7" ht="19.5" customHeight="1" x14ac:dyDescent="0.3">
      <c r="A477" s="5"/>
      <c r="B477" s="40" t="s">
        <v>21</v>
      </c>
      <c r="C477" s="24">
        <f>3000+46000</f>
        <v>49000</v>
      </c>
      <c r="D477" s="8"/>
      <c r="E477" s="8"/>
      <c r="F477" s="12" t="s">
        <v>17</v>
      </c>
      <c r="G477" s="13">
        <f>SUM(C460+C461+C462+C463+C464+C465)</f>
        <v>60550</v>
      </c>
    </row>
    <row r="478" spans="1:7" ht="19.5" customHeight="1" x14ac:dyDescent="0.3">
      <c r="A478" s="5"/>
      <c r="B478" s="16" t="s">
        <v>18</v>
      </c>
      <c r="C478" s="37"/>
      <c r="D478" s="8"/>
      <c r="E478" s="8"/>
      <c r="F478" s="12" t="s">
        <v>19</v>
      </c>
      <c r="G478" s="13">
        <f>SUM(C468:C477)</f>
        <v>3672400</v>
      </c>
    </row>
    <row r="479" spans="1:7" ht="19.5" customHeight="1" x14ac:dyDescent="0.25">
      <c r="A479" s="5"/>
      <c r="B479" s="121" t="s">
        <v>20</v>
      </c>
      <c r="C479" s="123">
        <f>SUM(C459:C478)</f>
        <v>3732950</v>
      </c>
      <c r="D479" s="121" t="s">
        <v>20</v>
      </c>
      <c r="E479" s="125">
        <f>SUM(E461:E477)</f>
        <v>0</v>
      </c>
      <c r="F479" s="14" t="s">
        <v>86</v>
      </c>
      <c r="G479" s="38">
        <f>SUM(G477:G478)</f>
        <v>3732950</v>
      </c>
    </row>
    <row r="480" spans="1:7" ht="19.5" customHeight="1" x14ac:dyDescent="0.25">
      <c r="A480" s="5"/>
      <c r="B480" s="122"/>
      <c r="C480" s="124"/>
      <c r="D480" s="122"/>
      <c r="E480" s="126"/>
      <c r="G480" s="21"/>
    </row>
    <row r="481" spans="1:7" ht="19.5" customHeight="1" x14ac:dyDescent="0.3">
      <c r="A481" s="18" t="s">
        <v>110</v>
      </c>
      <c r="B481" s="5"/>
      <c r="C481" s="6" t="s">
        <v>12</v>
      </c>
      <c r="D481" s="6"/>
      <c r="E481" s="6" t="s">
        <v>13</v>
      </c>
    </row>
    <row r="482" spans="1:7" ht="19.5" customHeight="1" x14ac:dyDescent="0.3">
      <c r="A482" s="7"/>
      <c r="B482" s="37"/>
      <c r="C482" s="26"/>
      <c r="D482" s="8"/>
      <c r="E482" s="8"/>
    </row>
    <row r="483" spans="1:7" ht="19.5" customHeight="1" x14ac:dyDescent="0.3">
      <c r="A483" s="7"/>
      <c r="B483" s="37" t="s">
        <v>111</v>
      </c>
      <c r="C483" s="26">
        <f>10000*200</f>
        <v>2000000</v>
      </c>
      <c r="D483" s="8"/>
      <c r="E483" s="8"/>
    </row>
    <row r="484" spans="1:7" ht="19.5" customHeight="1" x14ac:dyDescent="0.3">
      <c r="A484" s="5"/>
      <c r="B484" s="37" t="s">
        <v>112</v>
      </c>
      <c r="C484" s="26">
        <f>5000*580</f>
        <v>2900000</v>
      </c>
      <c r="D484" s="8"/>
      <c r="E484" s="8"/>
    </row>
    <row r="485" spans="1:7" ht="19.5" customHeight="1" x14ac:dyDescent="0.3">
      <c r="A485" s="5"/>
      <c r="B485" s="37" t="s">
        <v>113</v>
      </c>
      <c r="C485" s="26">
        <f>5000*19</f>
        <v>95000</v>
      </c>
      <c r="D485" s="8"/>
      <c r="E485" s="8"/>
    </row>
    <row r="486" spans="1:7" ht="19.5" customHeight="1" x14ac:dyDescent="0.3">
      <c r="A486" s="5"/>
      <c r="B486" s="37" t="s">
        <v>25</v>
      </c>
      <c r="C486" s="26">
        <f>500*2</f>
        <v>1000</v>
      </c>
      <c r="D486" s="8"/>
      <c r="E486" s="8"/>
      <c r="G486" s="21"/>
    </row>
    <row r="487" spans="1:7" ht="19.5" customHeight="1" x14ac:dyDescent="0.3">
      <c r="A487" s="5"/>
      <c r="B487" s="37" t="s">
        <v>114</v>
      </c>
      <c r="C487" s="26">
        <v>2850</v>
      </c>
      <c r="D487" s="8"/>
      <c r="E487" s="8"/>
    </row>
    <row r="488" spans="1:7" ht="19.5" customHeight="1" x14ac:dyDescent="0.3">
      <c r="A488" s="5"/>
      <c r="B488" s="37"/>
      <c r="C488" s="26"/>
      <c r="D488" s="8"/>
      <c r="E488" s="8"/>
      <c r="G488" s="22"/>
    </row>
    <row r="489" spans="1:7" ht="19.5" hidden="1" customHeight="1" x14ac:dyDescent="0.3">
      <c r="A489" s="5"/>
      <c r="B489" s="37"/>
      <c r="C489" s="26"/>
      <c r="D489" s="8"/>
      <c r="E489" s="8"/>
      <c r="F489" s="21"/>
      <c r="G489" s="21"/>
    </row>
    <row r="490" spans="1:7" ht="19.5" hidden="1" customHeight="1" x14ac:dyDescent="0.3">
      <c r="A490" s="5"/>
      <c r="B490" s="37"/>
      <c r="C490" s="26"/>
      <c r="D490" s="8"/>
      <c r="E490" s="8"/>
      <c r="F490" s="21"/>
      <c r="G490" s="21"/>
    </row>
    <row r="491" spans="1:7" ht="19.5" hidden="1" customHeight="1" x14ac:dyDescent="0.3">
      <c r="A491" s="5"/>
      <c r="B491" s="37"/>
      <c r="C491" s="26"/>
      <c r="D491" s="8"/>
      <c r="E491" s="8"/>
      <c r="F491" s="21"/>
      <c r="G491" s="21"/>
    </row>
    <row r="492" spans="1:7" ht="19.5" customHeight="1" x14ac:dyDescent="0.3">
      <c r="A492" s="5"/>
      <c r="B492" s="37" t="s">
        <v>98</v>
      </c>
      <c r="C492" s="24"/>
      <c r="D492" s="8"/>
      <c r="E492" s="8"/>
      <c r="F492" s="21"/>
      <c r="G492" s="21"/>
    </row>
    <row r="493" spans="1:7" ht="19.5" customHeight="1" x14ac:dyDescent="0.3">
      <c r="A493" s="5"/>
      <c r="B493" s="37"/>
      <c r="C493" s="26"/>
      <c r="D493" s="8"/>
      <c r="E493" s="8"/>
      <c r="F493" s="21"/>
      <c r="G493" s="21"/>
    </row>
    <row r="494" spans="1:7" ht="19.5" customHeight="1" x14ac:dyDescent="0.3">
      <c r="A494" s="5"/>
      <c r="B494" s="40" t="s">
        <v>14</v>
      </c>
      <c r="C494" s="24">
        <f>166000+278600</f>
        <v>444600</v>
      </c>
      <c r="D494" s="8"/>
      <c r="E494" s="8"/>
    </row>
    <row r="495" spans="1:7" ht="19.5" customHeight="1" x14ac:dyDescent="0.3">
      <c r="A495" s="5"/>
      <c r="B495" s="40" t="s">
        <v>15</v>
      </c>
      <c r="C495" s="26"/>
      <c r="D495" s="8"/>
      <c r="E495" s="8"/>
      <c r="F495" s="21"/>
    </row>
    <row r="496" spans="1:7" ht="19.5" customHeight="1" x14ac:dyDescent="0.3">
      <c r="A496" s="5"/>
      <c r="B496" s="40" t="s">
        <v>16</v>
      </c>
      <c r="C496" s="26"/>
      <c r="D496" s="8"/>
      <c r="E496" s="8"/>
    </row>
    <row r="497" spans="1:7" ht="19.5" customHeight="1" x14ac:dyDescent="0.3">
      <c r="A497" s="5"/>
      <c r="B497" s="40" t="s">
        <v>63</v>
      </c>
      <c r="C497" s="24"/>
      <c r="D497" s="8"/>
      <c r="E497" s="8"/>
    </row>
    <row r="498" spans="1:7" ht="19.5" customHeight="1" x14ac:dyDescent="0.3">
      <c r="A498" s="5"/>
      <c r="B498" s="40" t="s">
        <v>23</v>
      </c>
      <c r="C498" s="24"/>
      <c r="D498" s="8"/>
      <c r="E498" s="8"/>
    </row>
    <row r="499" spans="1:7" ht="19.5" customHeight="1" x14ac:dyDescent="0.3">
      <c r="A499" s="5"/>
      <c r="B499" s="40" t="s">
        <v>63</v>
      </c>
      <c r="C499" s="24"/>
      <c r="D499" s="8"/>
      <c r="E499" s="8"/>
    </row>
    <row r="500" spans="1:7" ht="19.5" customHeight="1" x14ac:dyDescent="0.3">
      <c r="A500" s="5"/>
      <c r="B500" s="40" t="s">
        <v>21</v>
      </c>
      <c r="C500" s="24"/>
      <c r="D500" s="8"/>
      <c r="E500" s="8"/>
      <c r="F500" s="12" t="s">
        <v>17</v>
      </c>
      <c r="G500" s="13">
        <f>SUM(C483+C484+C485+C486+C487+C488)</f>
        <v>4998850</v>
      </c>
    </row>
    <row r="501" spans="1:7" ht="19.5" customHeight="1" x14ac:dyDescent="0.3">
      <c r="A501" s="5"/>
      <c r="B501" s="16" t="s">
        <v>18</v>
      </c>
      <c r="C501" s="37"/>
      <c r="D501" s="8"/>
      <c r="E501" s="8"/>
      <c r="F501" s="12" t="s">
        <v>19</v>
      </c>
      <c r="G501" s="13">
        <f>SUM(C491:C500)</f>
        <v>444600</v>
      </c>
    </row>
    <row r="502" spans="1:7" ht="19.5" customHeight="1" x14ac:dyDescent="0.25">
      <c r="A502" s="5"/>
      <c r="B502" s="121" t="s">
        <v>20</v>
      </c>
      <c r="C502" s="123">
        <f>SUM(C482:C501)</f>
        <v>5443450</v>
      </c>
      <c r="D502" s="121" t="s">
        <v>20</v>
      </c>
      <c r="E502" s="125">
        <f>SUM(E484:E500)</f>
        <v>0</v>
      </c>
      <c r="F502" s="14" t="s">
        <v>86</v>
      </c>
      <c r="G502" s="38">
        <f>SUM(G500:G501)</f>
        <v>5443450</v>
      </c>
    </row>
    <row r="503" spans="1:7" ht="19.5" customHeight="1" x14ac:dyDescent="0.25">
      <c r="A503" s="5"/>
      <c r="B503" s="122"/>
      <c r="C503" s="124"/>
      <c r="D503" s="122"/>
      <c r="E503" s="126"/>
      <c r="G503" s="21"/>
    </row>
    <row r="504" spans="1:7" ht="19.5" customHeight="1" x14ac:dyDescent="0.3">
      <c r="A504" s="18" t="s">
        <v>115</v>
      </c>
      <c r="B504" s="5"/>
      <c r="C504" s="6" t="s">
        <v>12</v>
      </c>
      <c r="D504" s="6"/>
      <c r="E504" s="6" t="s">
        <v>13</v>
      </c>
    </row>
    <row r="505" spans="1:7" ht="19.5" customHeight="1" x14ac:dyDescent="0.3">
      <c r="A505" s="7"/>
      <c r="B505" s="37"/>
      <c r="C505" s="26"/>
      <c r="D505" s="8"/>
      <c r="E505" s="8"/>
    </row>
    <row r="506" spans="1:7" ht="19.5" customHeight="1" x14ac:dyDescent="0.3">
      <c r="A506" s="7"/>
      <c r="B506" s="37" t="s">
        <v>116</v>
      </c>
      <c r="C506" s="26">
        <f>10000*10</f>
        <v>100000</v>
      </c>
      <c r="D506" s="8"/>
      <c r="E506" s="8"/>
    </row>
    <row r="507" spans="1:7" ht="19.5" customHeight="1" x14ac:dyDescent="0.3">
      <c r="A507" s="5"/>
      <c r="B507" s="37" t="s">
        <v>117</v>
      </c>
      <c r="C507" s="26">
        <f>5000*73</f>
        <v>365000</v>
      </c>
      <c r="D507" s="8"/>
      <c r="E507" s="8"/>
    </row>
    <row r="508" spans="1:7" ht="19.5" customHeight="1" x14ac:dyDescent="0.3">
      <c r="A508" s="5"/>
      <c r="B508" s="37" t="s">
        <v>118</v>
      </c>
      <c r="C508" s="26">
        <f>1000*3</f>
        <v>3000</v>
      </c>
      <c r="D508" s="8"/>
      <c r="E508" s="8"/>
    </row>
    <row r="509" spans="1:7" ht="19.5" customHeight="1" x14ac:dyDescent="0.3">
      <c r="A509" s="5"/>
      <c r="B509" s="37" t="s">
        <v>120</v>
      </c>
      <c r="C509" s="26">
        <f>200*12</f>
        <v>2400</v>
      </c>
      <c r="D509" s="8"/>
      <c r="E509" s="8"/>
      <c r="G509" s="21"/>
    </row>
    <row r="510" spans="1:7" ht="19.5" customHeight="1" x14ac:dyDescent="0.3">
      <c r="A510" s="5"/>
      <c r="B510" s="37" t="s">
        <v>119</v>
      </c>
      <c r="C510" s="26">
        <f>100*1</f>
        <v>100</v>
      </c>
      <c r="D510" s="8"/>
      <c r="E510" s="8"/>
    </row>
    <row r="511" spans="1:7" ht="19.5" customHeight="1" x14ac:dyDescent="0.3">
      <c r="A511" s="5"/>
      <c r="B511" s="37" t="s">
        <v>58</v>
      </c>
      <c r="C511" s="26">
        <f>50*1</f>
        <v>50</v>
      </c>
      <c r="D511" s="8"/>
      <c r="E511" s="8"/>
      <c r="G511" s="22"/>
    </row>
    <row r="512" spans="1:7" ht="19.5" customHeight="1" x14ac:dyDescent="0.3">
      <c r="A512" s="5"/>
      <c r="B512" s="37"/>
      <c r="C512" s="26"/>
      <c r="D512" s="8"/>
      <c r="E512" s="8"/>
      <c r="F512" s="21"/>
      <c r="G512" s="21"/>
    </row>
    <row r="513" spans="1:7" ht="19.5" customHeight="1" x14ac:dyDescent="0.3">
      <c r="A513" s="5"/>
      <c r="B513" s="37"/>
      <c r="C513" s="26"/>
      <c r="D513" s="8"/>
      <c r="E513" s="8"/>
      <c r="F513" s="21"/>
      <c r="G513" s="21"/>
    </row>
    <row r="514" spans="1:7" ht="19.5" customHeight="1" x14ac:dyDescent="0.3">
      <c r="A514" s="5"/>
      <c r="B514" s="37"/>
      <c r="C514" s="26"/>
      <c r="D514" s="8"/>
      <c r="E514" s="8"/>
      <c r="F514" s="21"/>
      <c r="G514" s="21"/>
    </row>
    <row r="515" spans="1:7" ht="19.5" customHeight="1" x14ac:dyDescent="0.3">
      <c r="A515" s="5"/>
      <c r="B515" s="37" t="s">
        <v>98</v>
      </c>
      <c r="C515" s="24"/>
      <c r="D515" s="8"/>
      <c r="E515" s="8"/>
      <c r="F515" s="21"/>
      <c r="G515" s="21"/>
    </row>
    <row r="516" spans="1:7" ht="19.5" customHeight="1" x14ac:dyDescent="0.3">
      <c r="A516" s="5"/>
      <c r="B516" s="37"/>
      <c r="C516" s="26"/>
      <c r="D516" s="8"/>
      <c r="E516" s="8"/>
      <c r="F516" s="21"/>
      <c r="G516" s="21"/>
    </row>
    <row r="517" spans="1:7" ht="19.5" customHeight="1" x14ac:dyDescent="0.3">
      <c r="A517" s="5"/>
      <c r="B517" s="40" t="s">
        <v>14</v>
      </c>
      <c r="C517" s="24">
        <f>166000+278600+165800</f>
        <v>610400</v>
      </c>
      <c r="D517" s="8"/>
      <c r="E517" s="8"/>
    </row>
    <row r="518" spans="1:7" ht="19.5" customHeight="1" x14ac:dyDescent="0.3">
      <c r="A518" s="5"/>
      <c r="B518" s="40" t="s">
        <v>15</v>
      </c>
      <c r="C518" s="26"/>
      <c r="D518" s="8"/>
      <c r="E518" s="8"/>
      <c r="F518" s="21"/>
    </row>
    <row r="519" spans="1:7" ht="19.5" customHeight="1" x14ac:dyDescent="0.3">
      <c r="A519" s="5"/>
      <c r="B519" s="40" t="s">
        <v>16</v>
      </c>
      <c r="C519" s="26">
        <v>530000</v>
      </c>
      <c r="D519" s="8" t="s">
        <v>121</v>
      </c>
      <c r="E519" s="8"/>
    </row>
    <row r="520" spans="1:7" ht="19.5" customHeight="1" x14ac:dyDescent="0.3">
      <c r="A520" s="5"/>
      <c r="B520" s="40" t="s">
        <v>63</v>
      </c>
      <c r="C520" s="24">
        <f>41600+75200</f>
        <v>116800</v>
      </c>
      <c r="D520" s="8"/>
      <c r="E520" s="8"/>
    </row>
    <row r="521" spans="1:7" ht="19.5" customHeight="1" x14ac:dyDescent="0.3">
      <c r="A521" s="5"/>
      <c r="B521" s="40" t="s">
        <v>23</v>
      </c>
      <c r="C521" s="24"/>
      <c r="D521" s="8"/>
      <c r="E521" s="8"/>
    </row>
    <row r="522" spans="1:7" ht="19.5" customHeight="1" x14ac:dyDescent="0.3">
      <c r="A522" s="5"/>
      <c r="B522" s="40" t="s">
        <v>63</v>
      </c>
      <c r="C522" s="24"/>
      <c r="D522" s="8"/>
      <c r="E522" s="8"/>
    </row>
    <row r="523" spans="1:7" ht="19.5" customHeight="1" x14ac:dyDescent="0.3">
      <c r="A523" s="5"/>
      <c r="B523" s="40" t="s">
        <v>21</v>
      </c>
      <c r="C523" s="24"/>
      <c r="D523" s="8"/>
      <c r="E523" s="8"/>
      <c r="F523" s="12" t="s">
        <v>17</v>
      </c>
      <c r="G523" s="13">
        <f>SUM(C506+C507+C508+C509+C510+C511)</f>
        <v>470550</v>
      </c>
    </row>
    <row r="524" spans="1:7" ht="19.5" customHeight="1" x14ac:dyDescent="0.3">
      <c r="A524" s="5"/>
      <c r="B524" s="16" t="s">
        <v>18</v>
      </c>
      <c r="C524" s="37"/>
      <c r="D524" s="8"/>
      <c r="E524" s="8"/>
      <c r="F524" s="12" t="s">
        <v>19</v>
      </c>
      <c r="G524" s="13">
        <f>SUM(C514:C523)</f>
        <v>1257200</v>
      </c>
    </row>
    <row r="525" spans="1:7" ht="19.5" customHeight="1" x14ac:dyDescent="0.25">
      <c r="A525" s="5"/>
      <c r="B525" s="121" t="s">
        <v>20</v>
      </c>
      <c r="C525" s="123">
        <f>SUM(C505:C524)</f>
        <v>1727750</v>
      </c>
      <c r="D525" s="121" t="s">
        <v>20</v>
      </c>
      <c r="E525" s="125">
        <f>SUM(E507:E523)</f>
        <v>0</v>
      </c>
      <c r="F525" s="14" t="s">
        <v>86</v>
      </c>
      <c r="G525" s="38">
        <f>SUM(G523:G524)</f>
        <v>1727750</v>
      </c>
    </row>
    <row r="526" spans="1:7" ht="19.5" customHeight="1" x14ac:dyDescent="0.25">
      <c r="A526" s="5"/>
      <c r="B526" s="122"/>
      <c r="C526" s="124"/>
      <c r="D526" s="122"/>
      <c r="E526" s="126"/>
      <c r="G526" s="21"/>
    </row>
    <row r="527" spans="1:7" ht="19.5" customHeight="1" x14ac:dyDescent="0.3">
      <c r="A527" s="18" t="s">
        <v>122</v>
      </c>
      <c r="B527" s="5"/>
      <c r="C527" s="6" t="s">
        <v>12</v>
      </c>
      <c r="D527" s="6"/>
      <c r="E527" s="6" t="s">
        <v>13</v>
      </c>
    </row>
    <row r="528" spans="1:7" ht="19.5" customHeight="1" x14ac:dyDescent="0.3">
      <c r="A528" s="7"/>
      <c r="B528" s="37"/>
      <c r="C528" s="26"/>
      <c r="D528" s="8"/>
      <c r="E528" s="8"/>
    </row>
    <row r="529" spans="1:7" ht="19.5" customHeight="1" x14ac:dyDescent="0.3">
      <c r="A529" s="7"/>
      <c r="B529" s="37" t="s">
        <v>116</v>
      </c>
      <c r="C529" s="26">
        <f>10000*10</f>
        <v>100000</v>
      </c>
      <c r="D529" s="8"/>
      <c r="E529" s="8"/>
    </row>
    <row r="530" spans="1:7" ht="19.5" customHeight="1" x14ac:dyDescent="0.3">
      <c r="A530" s="5"/>
      <c r="B530" s="37" t="s">
        <v>117</v>
      </c>
      <c r="C530" s="26">
        <f>5000*73</f>
        <v>365000</v>
      </c>
      <c r="D530" s="8"/>
      <c r="E530" s="8"/>
    </row>
    <row r="531" spans="1:7" ht="19.5" customHeight="1" x14ac:dyDescent="0.3">
      <c r="A531" s="5"/>
      <c r="B531" s="37" t="s">
        <v>118</v>
      </c>
      <c r="C531" s="26">
        <f>1000*3</f>
        <v>3000</v>
      </c>
      <c r="D531" s="8"/>
      <c r="E531" s="8"/>
    </row>
    <row r="532" spans="1:7" ht="19.5" customHeight="1" x14ac:dyDescent="0.3">
      <c r="A532" s="5"/>
      <c r="B532" s="37" t="s">
        <v>120</v>
      </c>
      <c r="C532" s="26">
        <f>200*12</f>
        <v>2400</v>
      </c>
      <c r="D532" s="8"/>
      <c r="E532" s="8"/>
      <c r="G532" s="21"/>
    </row>
    <row r="533" spans="1:7" ht="19.5" customHeight="1" x14ac:dyDescent="0.3">
      <c r="A533" s="5"/>
      <c r="B533" s="37" t="s">
        <v>119</v>
      </c>
      <c r="C533" s="26">
        <f>100*1</f>
        <v>100</v>
      </c>
      <c r="D533" s="8"/>
      <c r="E533" s="8"/>
    </row>
    <row r="534" spans="1:7" ht="19.5" customHeight="1" x14ac:dyDescent="0.3">
      <c r="A534" s="5"/>
      <c r="B534" s="37" t="s">
        <v>58</v>
      </c>
      <c r="C534" s="26">
        <f>50*1</f>
        <v>50</v>
      </c>
      <c r="D534" s="8"/>
      <c r="E534" s="8"/>
      <c r="G534" s="22"/>
    </row>
    <row r="535" spans="1:7" ht="19.5" customHeight="1" x14ac:dyDescent="0.3">
      <c r="A535" s="5"/>
      <c r="B535" s="37"/>
      <c r="C535" s="26"/>
      <c r="D535" s="8"/>
      <c r="E535" s="8"/>
      <c r="F535" s="21"/>
      <c r="G535" s="21"/>
    </row>
    <row r="536" spans="1:7" ht="19.5" customHeight="1" x14ac:dyDescent="0.3">
      <c r="A536" s="5"/>
      <c r="B536" s="37"/>
      <c r="C536" s="26"/>
      <c r="D536" s="8"/>
      <c r="E536" s="8"/>
      <c r="F536" s="21"/>
      <c r="G536" s="21"/>
    </row>
    <row r="537" spans="1:7" ht="19.5" customHeight="1" x14ac:dyDescent="0.3">
      <c r="A537" s="5"/>
      <c r="B537" s="37"/>
      <c r="C537" s="26"/>
      <c r="D537" s="8"/>
      <c r="E537" s="8"/>
      <c r="F537" s="21"/>
      <c r="G537" s="21"/>
    </row>
    <row r="538" spans="1:7" ht="19.5" customHeight="1" x14ac:dyDescent="0.3">
      <c r="A538" s="5"/>
      <c r="B538" s="37"/>
      <c r="C538" s="24"/>
      <c r="D538" s="8"/>
      <c r="E538" s="8"/>
      <c r="F538" s="21"/>
      <c r="G538" s="21"/>
    </row>
    <row r="539" spans="1:7" ht="19.5" customHeight="1" x14ac:dyDescent="0.3">
      <c r="A539" s="5"/>
      <c r="B539" s="37"/>
      <c r="C539" s="26"/>
      <c r="D539" s="8"/>
      <c r="E539" s="8"/>
      <c r="F539" s="21"/>
      <c r="G539" s="21"/>
    </row>
    <row r="540" spans="1:7" ht="19.5" customHeight="1" x14ac:dyDescent="0.3">
      <c r="A540" s="5"/>
      <c r="B540" s="40" t="s">
        <v>14</v>
      </c>
      <c r="C540" s="24">
        <f>166000+278600+165800+193000</f>
        <v>803400</v>
      </c>
      <c r="D540" s="8"/>
      <c r="E540" s="8"/>
    </row>
    <row r="541" spans="1:7" ht="19.5" customHeight="1" x14ac:dyDescent="0.3">
      <c r="A541" s="5"/>
      <c r="B541" s="40" t="s">
        <v>15</v>
      </c>
      <c r="C541" s="26"/>
      <c r="D541" s="8"/>
      <c r="E541" s="8"/>
      <c r="F541" s="21"/>
    </row>
    <row r="542" spans="1:7" ht="19.5" customHeight="1" x14ac:dyDescent="0.3">
      <c r="A542" s="5"/>
      <c r="B542" s="40" t="s">
        <v>16</v>
      </c>
      <c r="C542" s="26">
        <v>530000</v>
      </c>
      <c r="D542" s="8" t="s">
        <v>121</v>
      </c>
      <c r="E542" s="8"/>
    </row>
    <row r="543" spans="1:7" ht="19.5" customHeight="1" x14ac:dyDescent="0.3">
      <c r="A543" s="5"/>
      <c r="B543" s="40" t="s">
        <v>63</v>
      </c>
      <c r="C543" s="24">
        <f>41600+75200</f>
        <v>116800</v>
      </c>
      <c r="D543" s="8"/>
      <c r="E543" s="8"/>
    </row>
    <row r="544" spans="1:7" ht="19.5" customHeight="1" x14ac:dyDescent="0.3">
      <c r="A544" s="5"/>
      <c r="B544" s="40" t="s">
        <v>23</v>
      </c>
      <c r="C544" s="24"/>
      <c r="D544" s="8"/>
      <c r="E544" s="8"/>
    </row>
    <row r="545" spans="1:7" ht="19.5" customHeight="1" x14ac:dyDescent="0.3">
      <c r="A545" s="5"/>
      <c r="B545" s="40" t="s">
        <v>63</v>
      </c>
      <c r="C545" s="24"/>
      <c r="D545" s="8"/>
      <c r="E545" s="8"/>
    </row>
    <row r="546" spans="1:7" ht="19.5" customHeight="1" x14ac:dyDescent="0.3">
      <c r="A546" s="5"/>
      <c r="B546" s="40" t="s">
        <v>21</v>
      </c>
      <c r="C546" s="24"/>
      <c r="D546" s="8"/>
      <c r="E546" s="8"/>
      <c r="F546" s="12" t="s">
        <v>17</v>
      </c>
      <c r="G546" s="13">
        <f>SUM(C529+C530+C531+C532+C533+C534)</f>
        <v>470550</v>
      </c>
    </row>
    <row r="547" spans="1:7" ht="19.5" customHeight="1" x14ac:dyDescent="0.3">
      <c r="A547" s="5"/>
      <c r="B547" s="16" t="s">
        <v>18</v>
      </c>
      <c r="C547" s="37"/>
      <c r="D547" s="8"/>
      <c r="E547" s="8"/>
      <c r="F547" s="12" t="s">
        <v>19</v>
      </c>
      <c r="G547" s="13">
        <f>SUM(C537:C546)</f>
        <v>1450200</v>
      </c>
    </row>
    <row r="548" spans="1:7" ht="19.5" customHeight="1" x14ac:dyDescent="0.25">
      <c r="A548" s="5"/>
      <c r="B548" s="121" t="s">
        <v>20</v>
      </c>
      <c r="C548" s="123">
        <f>SUM(C528:C547)</f>
        <v>1920750</v>
      </c>
      <c r="D548" s="121" t="s">
        <v>20</v>
      </c>
      <c r="E548" s="125">
        <f>SUM(E530:E546)</f>
        <v>0</v>
      </c>
      <c r="F548" s="14" t="s">
        <v>86</v>
      </c>
      <c r="G548" s="38">
        <f>SUM(G546:G547)</f>
        <v>1920750</v>
      </c>
    </row>
    <row r="549" spans="1:7" ht="19.5" customHeight="1" x14ac:dyDescent="0.25">
      <c r="A549" s="5"/>
      <c r="B549" s="122"/>
      <c r="C549" s="124"/>
      <c r="D549" s="122"/>
      <c r="E549" s="126"/>
      <c r="G549" s="21"/>
    </row>
    <row r="550" spans="1:7" ht="19.5" customHeight="1" x14ac:dyDescent="0.3">
      <c r="A550" s="18" t="s">
        <v>123</v>
      </c>
      <c r="B550" s="5"/>
      <c r="C550" s="6" t="s">
        <v>12</v>
      </c>
      <c r="D550" s="6"/>
      <c r="E550" s="6" t="s">
        <v>13</v>
      </c>
    </row>
    <row r="551" spans="1:7" ht="19.5" customHeight="1" x14ac:dyDescent="0.3">
      <c r="A551" s="7"/>
      <c r="B551" s="37"/>
      <c r="C551" s="26"/>
      <c r="D551" s="8"/>
      <c r="E551" s="8"/>
    </row>
    <row r="552" spans="1:7" ht="19.5" customHeight="1" x14ac:dyDescent="0.3">
      <c r="A552" s="7"/>
      <c r="B552" s="37" t="s">
        <v>124</v>
      </c>
      <c r="C552" s="26">
        <f>10000*100</f>
        <v>1000000</v>
      </c>
      <c r="D552" s="8"/>
      <c r="E552" s="8"/>
    </row>
    <row r="553" spans="1:7" ht="19.5" customHeight="1" x14ac:dyDescent="0.3">
      <c r="A553" s="5"/>
      <c r="B553" s="37" t="s">
        <v>125</v>
      </c>
      <c r="C553" s="26">
        <f>5000*129</f>
        <v>645000</v>
      </c>
      <c r="D553" s="8"/>
      <c r="E553" s="8"/>
    </row>
    <row r="554" spans="1:7" ht="19.5" customHeight="1" x14ac:dyDescent="0.3">
      <c r="A554" s="5"/>
      <c r="B554" s="37" t="s">
        <v>126</v>
      </c>
      <c r="C554" s="26">
        <f>1000*21</f>
        <v>21000</v>
      </c>
      <c r="D554" s="8"/>
      <c r="E554" s="8"/>
    </row>
    <row r="555" spans="1:7" ht="19.5" customHeight="1" x14ac:dyDescent="0.3">
      <c r="A555" s="5"/>
      <c r="B555" s="37" t="s">
        <v>120</v>
      </c>
      <c r="C555" s="26">
        <f>200*12</f>
        <v>2400</v>
      </c>
      <c r="D555" s="8"/>
      <c r="E555" s="8"/>
      <c r="G555" s="21"/>
    </row>
    <row r="556" spans="1:7" ht="19.5" customHeight="1" x14ac:dyDescent="0.3">
      <c r="A556" s="5"/>
      <c r="B556" s="37" t="s">
        <v>127</v>
      </c>
      <c r="C556" s="26">
        <v>100</v>
      </c>
      <c r="D556" s="8"/>
      <c r="E556" s="8"/>
    </row>
    <row r="557" spans="1:7" ht="19.5" customHeight="1" x14ac:dyDescent="0.3">
      <c r="A557" s="5"/>
      <c r="B557" s="37"/>
      <c r="C557" s="26"/>
      <c r="D557" s="8"/>
      <c r="E557" s="8"/>
      <c r="G557" s="22"/>
    </row>
    <row r="558" spans="1:7" ht="19.5" customHeight="1" x14ac:dyDescent="0.3">
      <c r="A558" s="5"/>
      <c r="B558" s="37"/>
      <c r="C558" s="26"/>
      <c r="D558" s="8"/>
      <c r="E558" s="8"/>
      <c r="F558" s="21"/>
      <c r="G558" s="21"/>
    </row>
    <row r="559" spans="1:7" ht="19.5" customHeight="1" x14ac:dyDescent="0.3">
      <c r="A559" s="5"/>
      <c r="B559" s="37"/>
      <c r="C559" s="26"/>
      <c r="D559" s="8"/>
      <c r="E559" s="8"/>
      <c r="F559" s="21"/>
      <c r="G559" s="21"/>
    </row>
    <row r="560" spans="1:7" ht="19.5" customHeight="1" x14ac:dyDescent="0.3">
      <c r="A560" s="5"/>
      <c r="B560" s="37"/>
      <c r="C560" s="26"/>
      <c r="D560" s="8"/>
      <c r="E560" s="8"/>
      <c r="F560" s="21"/>
      <c r="G560" s="21"/>
    </row>
    <row r="561" spans="1:7" ht="19.5" customHeight="1" x14ac:dyDescent="0.3">
      <c r="A561" s="5"/>
      <c r="B561" s="37"/>
      <c r="C561" s="26"/>
      <c r="D561" s="8"/>
      <c r="E561" s="8"/>
      <c r="F561" s="21"/>
      <c r="G561" s="21"/>
    </row>
    <row r="562" spans="1:7" ht="19.5" customHeight="1" x14ac:dyDescent="0.3">
      <c r="A562" s="5"/>
      <c r="B562" s="37"/>
      <c r="C562" s="26"/>
      <c r="D562" s="8"/>
      <c r="E562" s="8"/>
      <c r="F562" s="21"/>
      <c r="G562" s="21"/>
    </row>
    <row r="563" spans="1:7" ht="19.5" customHeight="1" x14ac:dyDescent="0.3">
      <c r="A563" s="5"/>
      <c r="B563" s="40" t="s">
        <v>14</v>
      </c>
      <c r="C563" s="24">
        <f>166000+278600+165800+193000+100000</f>
        <v>903400</v>
      </c>
      <c r="D563" s="8"/>
      <c r="E563" s="8"/>
    </row>
    <row r="564" spans="1:7" ht="19.5" customHeight="1" x14ac:dyDescent="0.3">
      <c r="A564" s="5"/>
      <c r="B564" s="40" t="s">
        <v>15</v>
      </c>
      <c r="C564" s="26"/>
      <c r="D564" s="8"/>
      <c r="E564" s="8"/>
      <c r="F564" s="21"/>
    </row>
    <row r="565" spans="1:7" ht="19.5" customHeight="1" x14ac:dyDescent="0.3">
      <c r="A565" s="5"/>
      <c r="B565" s="40" t="s">
        <v>16</v>
      </c>
      <c r="C565" s="26">
        <v>530000</v>
      </c>
      <c r="D565" s="8" t="s">
        <v>121</v>
      </c>
      <c r="E565" s="8"/>
    </row>
    <row r="566" spans="1:7" ht="19.5" customHeight="1" x14ac:dyDescent="0.3">
      <c r="A566" s="5"/>
      <c r="B566" s="40" t="s">
        <v>63</v>
      </c>
      <c r="C566" s="24">
        <f>41600+75200+100000</f>
        <v>216800</v>
      </c>
      <c r="D566" s="8"/>
      <c r="E566" s="8"/>
    </row>
    <row r="567" spans="1:7" ht="19.5" customHeight="1" x14ac:dyDescent="0.3">
      <c r="A567" s="5"/>
      <c r="B567" s="40" t="s">
        <v>23</v>
      </c>
      <c r="C567" s="24"/>
      <c r="D567" s="8"/>
      <c r="E567" s="8"/>
    </row>
    <row r="568" spans="1:7" ht="19.5" customHeight="1" x14ac:dyDescent="0.3">
      <c r="A568" s="5"/>
      <c r="B568" s="40" t="s">
        <v>63</v>
      </c>
      <c r="C568" s="24"/>
      <c r="D568" s="8"/>
      <c r="E568" s="8"/>
    </row>
    <row r="569" spans="1:7" ht="19.5" customHeight="1" x14ac:dyDescent="0.3">
      <c r="A569" s="5"/>
      <c r="B569" s="40" t="s">
        <v>21</v>
      </c>
      <c r="C569" s="24"/>
      <c r="D569" s="8"/>
      <c r="E569" s="8"/>
      <c r="F569" s="12" t="s">
        <v>17</v>
      </c>
      <c r="G569" s="13">
        <f>SUM(C552+C553+C554+C555+C556+C557)</f>
        <v>1668500</v>
      </c>
    </row>
    <row r="570" spans="1:7" ht="19.5" customHeight="1" x14ac:dyDescent="0.3">
      <c r="A570" s="5"/>
      <c r="B570" s="16" t="s">
        <v>18</v>
      </c>
      <c r="C570" s="37"/>
      <c r="D570" s="8"/>
      <c r="E570" s="8"/>
      <c r="F570" s="12" t="s">
        <v>19</v>
      </c>
      <c r="G570" s="13">
        <f>SUM(C560:C569)</f>
        <v>1650200</v>
      </c>
    </row>
    <row r="571" spans="1:7" ht="19.5" customHeight="1" x14ac:dyDescent="0.25">
      <c r="A571" s="5"/>
      <c r="B571" s="121" t="s">
        <v>20</v>
      </c>
      <c r="C571" s="123">
        <f>SUM(C551:C570)</f>
        <v>3318700</v>
      </c>
      <c r="D571" s="121" t="s">
        <v>20</v>
      </c>
      <c r="E571" s="125">
        <f>SUM(E553:E569)</f>
        <v>0</v>
      </c>
      <c r="F571" s="14" t="s">
        <v>86</v>
      </c>
      <c r="G571" s="38">
        <f>SUM(G569:G570)</f>
        <v>3318700</v>
      </c>
    </row>
    <row r="572" spans="1:7" ht="19.5" customHeight="1" x14ac:dyDescent="0.25">
      <c r="A572" s="5"/>
      <c r="B572" s="122"/>
      <c r="C572" s="124"/>
      <c r="D572" s="122"/>
      <c r="E572" s="126"/>
      <c r="G572" s="21"/>
    </row>
    <row r="573" spans="1:7" ht="19.5" customHeight="1" x14ac:dyDescent="0.3">
      <c r="A573" s="18" t="s">
        <v>128</v>
      </c>
      <c r="B573" s="5"/>
      <c r="C573" s="6" t="s">
        <v>12</v>
      </c>
      <c r="D573" s="6"/>
      <c r="E573" s="6" t="s">
        <v>13</v>
      </c>
    </row>
    <row r="574" spans="1:7" ht="19.5" customHeight="1" x14ac:dyDescent="0.3">
      <c r="A574" s="7"/>
      <c r="B574" s="37"/>
      <c r="C574" s="26"/>
      <c r="D574" s="8"/>
      <c r="E574" s="8"/>
    </row>
    <row r="575" spans="1:7" ht="19.5" customHeight="1" x14ac:dyDescent="0.3">
      <c r="A575" s="7"/>
      <c r="B575" s="37" t="s">
        <v>124</v>
      </c>
      <c r="C575" s="26">
        <f>10000*100</f>
        <v>1000000</v>
      </c>
      <c r="D575" s="8"/>
      <c r="E575" s="8"/>
    </row>
    <row r="576" spans="1:7" ht="19.5" customHeight="1" x14ac:dyDescent="0.3">
      <c r="A576" s="5"/>
      <c r="B576" s="37" t="s">
        <v>129</v>
      </c>
      <c r="C576" s="26">
        <f>5000*93</f>
        <v>465000</v>
      </c>
      <c r="D576" s="8"/>
      <c r="E576" s="8"/>
    </row>
    <row r="577" spans="1:7" ht="19.5" customHeight="1" x14ac:dyDescent="0.3">
      <c r="A577" s="5"/>
      <c r="B577" s="37" t="s">
        <v>126</v>
      </c>
      <c r="C577" s="26">
        <f>1000*21</f>
        <v>21000</v>
      </c>
      <c r="D577" s="8"/>
      <c r="E577" s="8"/>
    </row>
    <row r="578" spans="1:7" ht="19.5" customHeight="1" x14ac:dyDescent="0.3">
      <c r="A578" s="5"/>
      <c r="B578" s="37" t="s">
        <v>120</v>
      </c>
      <c r="C578" s="26">
        <f>200*12</f>
        <v>2400</v>
      </c>
      <c r="D578" s="8"/>
      <c r="E578" s="8"/>
      <c r="G578" s="21"/>
    </row>
    <row r="579" spans="1:7" ht="19.5" customHeight="1" x14ac:dyDescent="0.3">
      <c r="A579" s="5"/>
      <c r="B579" s="37" t="s">
        <v>127</v>
      </c>
      <c r="C579" s="26">
        <v>100</v>
      </c>
      <c r="D579" s="8"/>
      <c r="E579" s="8"/>
    </row>
    <row r="580" spans="1:7" ht="19.5" customHeight="1" x14ac:dyDescent="0.3">
      <c r="A580" s="5"/>
      <c r="B580" s="37"/>
      <c r="C580" s="26"/>
      <c r="D580" s="8"/>
      <c r="E580" s="8"/>
      <c r="G580" s="22"/>
    </row>
    <row r="581" spans="1:7" ht="19.5" customHeight="1" x14ac:dyDescent="0.3">
      <c r="A581" s="5"/>
      <c r="B581" s="37"/>
      <c r="C581" s="26"/>
      <c r="D581" s="8"/>
      <c r="E581" s="8"/>
      <c r="F581" s="21"/>
      <c r="G581" s="21"/>
    </row>
    <row r="582" spans="1:7" ht="19.5" customHeight="1" x14ac:dyDescent="0.3">
      <c r="A582" s="5"/>
      <c r="B582" s="37"/>
      <c r="C582" s="26"/>
      <c r="D582" s="8"/>
      <c r="E582" s="8"/>
      <c r="F582" s="21"/>
      <c r="G582" s="21"/>
    </row>
    <row r="583" spans="1:7" ht="19.5" customHeight="1" x14ac:dyDescent="0.3">
      <c r="A583" s="5"/>
      <c r="B583" s="37"/>
      <c r="C583" s="26"/>
      <c r="D583" s="8"/>
      <c r="E583" s="8"/>
      <c r="F583" s="21"/>
      <c r="G583" s="21"/>
    </row>
    <row r="584" spans="1:7" ht="19.5" customHeight="1" x14ac:dyDescent="0.3">
      <c r="A584" s="5"/>
      <c r="B584" s="37"/>
      <c r="C584" s="26"/>
      <c r="D584" s="8"/>
      <c r="E584" s="8"/>
      <c r="F584" s="21"/>
      <c r="G584" s="21"/>
    </row>
    <row r="585" spans="1:7" ht="19.5" customHeight="1" x14ac:dyDescent="0.3">
      <c r="A585" s="5"/>
      <c r="B585" s="37"/>
      <c r="C585" s="26"/>
      <c r="D585" s="8"/>
      <c r="E585" s="8"/>
      <c r="F585" s="21"/>
      <c r="G585" s="21"/>
    </row>
    <row r="586" spans="1:7" ht="19.5" customHeight="1" x14ac:dyDescent="0.3">
      <c r="A586" s="5"/>
      <c r="B586" s="40" t="s">
        <v>14</v>
      </c>
      <c r="C586" s="24">
        <v>13200</v>
      </c>
      <c r="D586" s="8"/>
      <c r="E586" s="8"/>
    </row>
    <row r="587" spans="1:7" ht="19.5" customHeight="1" x14ac:dyDescent="0.3">
      <c r="A587" s="5"/>
      <c r="B587" s="40" t="s">
        <v>15</v>
      </c>
      <c r="C587" s="26"/>
      <c r="D587" s="8"/>
      <c r="E587" s="8"/>
      <c r="F587" s="21"/>
    </row>
    <row r="588" spans="1:7" ht="19.5" customHeight="1" x14ac:dyDescent="0.3">
      <c r="A588" s="5"/>
      <c r="B588" s="40" t="s">
        <v>16</v>
      </c>
      <c r="C588" s="26">
        <v>530000</v>
      </c>
      <c r="D588" s="8" t="s">
        <v>121</v>
      </c>
      <c r="E588" s="8"/>
    </row>
    <row r="589" spans="1:7" ht="19.5" customHeight="1" x14ac:dyDescent="0.3">
      <c r="A589" s="5"/>
      <c r="B589" s="40" t="s">
        <v>63</v>
      </c>
      <c r="C589" s="24">
        <f>41600+75200+100000+52500</f>
        <v>269300</v>
      </c>
      <c r="D589" s="8"/>
      <c r="E589" s="8"/>
    </row>
    <row r="590" spans="1:7" ht="19.5" customHeight="1" x14ac:dyDescent="0.3">
      <c r="A590" s="5"/>
      <c r="B590" s="40" t="s">
        <v>23</v>
      </c>
      <c r="C590" s="24"/>
      <c r="D590" s="8"/>
      <c r="E590" s="8"/>
    </row>
    <row r="591" spans="1:7" ht="19.5" customHeight="1" x14ac:dyDescent="0.3">
      <c r="A591" s="5"/>
      <c r="B591" s="40" t="s">
        <v>63</v>
      </c>
      <c r="C591" s="24"/>
      <c r="D591" s="8"/>
      <c r="E591" s="8"/>
    </row>
    <row r="592" spans="1:7" ht="19.5" customHeight="1" x14ac:dyDescent="0.3">
      <c r="A592" s="5"/>
      <c r="B592" s="40" t="s">
        <v>21</v>
      </c>
      <c r="C592" s="24">
        <v>5500</v>
      </c>
      <c r="D592" s="8"/>
      <c r="E592" s="8"/>
      <c r="F592" s="12" t="s">
        <v>17</v>
      </c>
      <c r="G592" s="13">
        <f>SUM(C575+C576+C577+C578+C579+C580)</f>
        <v>1488500</v>
      </c>
    </row>
    <row r="593" spans="1:7" ht="19.5" customHeight="1" x14ac:dyDescent="0.3">
      <c r="A593" s="5"/>
      <c r="B593" s="16" t="s">
        <v>18</v>
      </c>
      <c r="C593" s="37"/>
      <c r="D593" s="8"/>
      <c r="E593" s="8"/>
      <c r="F593" s="12" t="s">
        <v>19</v>
      </c>
      <c r="G593" s="13">
        <f>SUM(C583:C592)</f>
        <v>818000</v>
      </c>
    </row>
    <row r="594" spans="1:7" ht="19.5" customHeight="1" x14ac:dyDescent="0.25">
      <c r="A594" s="5"/>
      <c r="B594" s="121" t="s">
        <v>20</v>
      </c>
      <c r="C594" s="123">
        <f>SUM(C574:C593)</f>
        <v>2306500</v>
      </c>
      <c r="D594" s="121" t="s">
        <v>20</v>
      </c>
      <c r="E594" s="125">
        <f>SUM(E576:E592)</f>
        <v>0</v>
      </c>
      <c r="F594" s="14" t="s">
        <v>86</v>
      </c>
      <c r="G594" s="38">
        <f>SUM(G592:G593)</f>
        <v>2306500</v>
      </c>
    </row>
    <row r="595" spans="1:7" ht="19.5" customHeight="1" x14ac:dyDescent="0.25">
      <c r="A595" s="5"/>
      <c r="B595" s="122"/>
      <c r="C595" s="124"/>
      <c r="D595" s="122"/>
      <c r="E595" s="126"/>
      <c r="G595" s="21"/>
    </row>
    <row r="596" spans="1:7" s="46" customFormat="1" ht="19.5" customHeight="1" x14ac:dyDescent="0.25">
      <c r="A596" s="42"/>
      <c r="B596" s="43"/>
      <c r="C596" s="44"/>
      <c r="D596" s="43"/>
      <c r="E596" s="45"/>
      <c r="G596" s="47"/>
    </row>
    <row r="597" spans="1:7" s="46" customFormat="1" ht="19.5" customHeight="1" x14ac:dyDescent="0.25">
      <c r="A597" s="42"/>
      <c r="B597" s="43"/>
      <c r="C597" s="44"/>
      <c r="D597" s="43"/>
      <c r="E597" s="45"/>
      <c r="G597" s="47"/>
    </row>
    <row r="598" spans="1:7" ht="19.5" customHeight="1" x14ac:dyDescent="0.3">
      <c r="A598" s="18" t="s">
        <v>130</v>
      </c>
      <c r="B598" s="5"/>
      <c r="C598" s="6" t="s">
        <v>12</v>
      </c>
      <c r="D598" s="6"/>
      <c r="E598" s="6" t="s">
        <v>13</v>
      </c>
    </row>
    <row r="599" spans="1:7" ht="19.5" customHeight="1" x14ac:dyDescent="0.3">
      <c r="A599" s="7"/>
      <c r="B599" s="37"/>
      <c r="C599" s="26"/>
      <c r="D599" s="8"/>
      <c r="E599" s="8"/>
    </row>
    <row r="600" spans="1:7" ht="19.5" customHeight="1" x14ac:dyDescent="0.3">
      <c r="A600" s="7"/>
      <c r="B600" s="37" t="s">
        <v>124</v>
      </c>
      <c r="C600" s="26">
        <f>10000*100</f>
        <v>1000000</v>
      </c>
      <c r="D600" s="8"/>
      <c r="E600" s="8"/>
    </row>
    <row r="601" spans="1:7" ht="19.5" customHeight="1" x14ac:dyDescent="0.3">
      <c r="A601" s="5"/>
      <c r="B601" s="37" t="s">
        <v>129</v>
      </c>
      <c r="C601" s="26">
        <f>5000*93</f>
        <v>465000</v>
      </c>
      <c r="D601" s="8"/>
      <c r="E601" s="8"/>
    </row>
    <row r="602" spans="1:7" ht="19.5" customHeight="1" x14ac:dyDescent="0.3">
      <c r="A602" s="5"/>
      <c r="B602" s="37" t="s">
        <v>126</v>
      </c>
      <c r="C602" s="26">
        <f>1000*21</f>
        <v>21000</v>
      </c>
      <c r="D602" s="8"/>
      <c r="E602" s="8"/>
    </row>
    <row r="603" spans="1:7" ht="19.5" customHeight="1" x14ac:dyDescent="0.3">
      <c r="A603" s="5"/>
      <c r="B603" s="37" t="s">
        <v>120</v>
      </c>
      <c r="C603" s="26">
        <f>200*12</f>
        <v>2400</v>
      </c>
      <c r="D603" s="8"/>
      <c r="E603" s="8"/>
      <c r="G603" s="21"/>
    </row>
    <row r="604" spans="1:7" ht="19.5" customHeight="1" x14ac:dyDescent="0.3">
      <c r="A604" s="5"/>
      <c r="B604" s="37" t="s">
        <v>131</v>
      </c>
      <c r="C604" s="26">
        <v>50</v>
      </c>
      <c r="D604" s="8"/>
      <c r="E604" s="8"/>
    </row>
    <row r="605" spans="1:7" ht="19.5" customHeight="1" x14ac:dyDescent="0.3">
      <c r="A605" s="5"/>
      <c r="B605" s="37"/>
      <c r="C605" s="26"/>
      <c r="D605" s="8"/>
      <c r="E605" s="8"/>
      <c r="G605" s="22"/>
    </row>
    <row r="606" spans="1:7" ht="19.5" customHeight="1" x14ac:dyDescent="0.3">
      <c r="A606" s="5"/>
      <c r="B606" s="37"/>
      <c r="C606" s="26"/>
      <c r="D606" s="8"/>
      <c r="E606" s="8"/>
      <c r="F606" s="21"/>
      <c r="G606" s="21"/>
    </row>
    <row r="607" spans="1:7" ht="19.5" customHeight="1" x14ac:dyDescent="0.3">
      <c r="A607" s="5"/>
      <c r="B607" s="37"/>
      <c r="C607" s="26"/>
      <c r="D607" s="8"/>
      <c r="E607" s="8"/>
      <c r="F607" s="21"/>
      <c r="G607" s="21"/>
    </row>
    <row r="608" spans="1:7" ht="19.5" customHeight="1" x14ac:dyDescent="0.3">
      <c r="A608" s="5"/>
      <c r="B608" s="37"/>
      <c r="C608" s="26"/>
      <c r="D608" s="8"/>
      <c r="E608" s="8"/>
      <c r="F608" s="21"/>
      <c r="G608" s="21"/>
    </row>
    <row r="609" spans="1:7" ht="19.5" customHeight="1" x14ac:dyDescent="0.3">
      <c r="A609" s="5"/>
      <c r="B609" s="37"/>
      <c r="C609" s="26"/>
      <c r="D609" s="8"/>
      <c r="E609" s="8"/>
      <c r="F609" s="21"/>
      <c r="G609" s="21"/>
    </row>
    <row r="610" spans="1:7" ht="19.5" customHeight="1" x14ac:dyDescent="0.3">
      <c r="A610" s="5"/>
      <c r="B610" s="37"/>
      <c r="C610" s="26"/>
      <c r="D610" s="8"/>
      <c r="E610" s="8"/>
      <c r="F610" s="21"/>
      <c r="G610" s="21"/>
    </row>
    <row r="611" spans="1:7" ht="19.5" customHeight="1" x14ac:dyDescent="0.3">
      <c r="A611" s="5"/>
      <c r="B611" s="40" t="s">
        <v>14</v>
      </c>
      <c r="C611" s="24">
        <v>244750</v>
      </c>
      <c r="D611" s="8"/>
      <c r="E611" s="8"/>
    </row>
    <row r="612" spans="1:7" ht="19.5" customHeight="1" x14ac:dyDescent="0.3">
      <c r="A612" s="5"/>
      <c r="B612" s="40" t="s">
        <v>15</v>
      </c>
      <c r="C612" s="26"/>
      <c r="D612" s="8"/>
      <c r="E612" s="8"/>
      <c r="F612" s="21"/>
    </row>
    <row r="613" spans="1:7" ht="19.5" customHeight="1" x14ac:dyDescent="0.3">
      <c r="A613" s="5"/>
      <c r="B613" s="40" t="s">
        <v>16</v>
      </c>
      <c r="C613" s="26">
        <v>530000</v>
      </c>
      <c r="D613" s="8" t="s">
        <v>121</v>
      </c>
      <c r="E613" s="8"/>
    </row>
    <row r="614" spans="1:7" ht="19.5" customHeight="1" x14ac:dyDescent="0.3">
      <c r="A614" s="5"/>
      <c r="B614" s="40" t="s">
        <v>63</v>
      </c>
      <c r="C614" s="24">
        <f>41600+75200+100000+52500-64000+60500</f>
        <v>265800</v>
      </c>
      <c r="D614" s="8"/>
      <c r="E614" s="8"/>
    </row>
    <row r="615" spans="1:7" ht="19.5" customHeight="1" x14ac:dyDescent="0.3">
      <c r="A615" s="5"/>
      <c r="B615" s="40" t="s">
        <v>23</v>
      </c>
      <c r="C615" s="24"/>
      <c r="D615" s="8"/>
      <c r="E615" s="8"/>
    </row>
    <row r="616" spans="1:7" ht="19.5" customHeight="1" x14ac:dyDescent="0.3">
      <c r="A616" s="5"/>
      <c r="B616" s="40" t="s">
        <v>63</v>
      </c>
      <c r="C616" s="24"/>
      <c r="D616" s="8"/>
      <c r="E616" s="8"/>
    </row>
    <row r="617" spans="1:7" ht="19.5" customHeight="1" x14ac:dyDescent="0.3">
      <c r="A617" s="5"/>
      <c r="B617" s="40" t="s">
        <v>21</v>
      </c>
      <c r="C617" s="24">
        <v>5500</v>
      </c>
      <c r="D617" s="8"/>
      <c r="E617" s="8"/>
      <c r="F617" s="12" t="s">
        <v>17</v>
      </c>
      <c r="G617" s="13">
        <f>SUM(C600+C601+C602+C603+C604+C605)</f>
        <v>1488450</v>
      </c>
    </row>
    <row r="618" spans="1:7" ht="19.5" customHeight="1" x14ac:dyDescent="0.3">
      <c r="A618" s="5"/>
      <c r="B618" s="16" t="s">
        <v>18</v>
      </c>
      <c r="C618" s="37"/>
      <c r="D618" s="8"/>
      <c r="E618" s="8"/>
      <c r="F618" s="12" t="s">
        <v>19</v>
      </c>
      <c r="G618" s="13">
        <f>SUM(C608:C617)</f>
        <v>1046050</v>
      </c>
    </row>
    <row r="619" spans="1:7" ht="19.5" customHeight="1" x14ac:dyDescent="0.25">
      <c r="A619" s="5"/>
      <c r="B619" s="121" t="s">
        <v>20</v>
      </c>
      <c r="C619" s="123">
        <f>SUM(C599:C618)</f>
        <v>2534500</v>
      </c>
      <c r="D619" s="121" t="s">
        <v>20</v>
      </c>
      <c r="E619" s="125">
        <f>SUM(E601:E617)</f>
        <v>0</v>
      </c>
      <c r="F619" s="14" t="s">
        <v>86</v>
      </c>
      <c r="G619" s="38">
        <f>SUM(G617:G618)</f>
        <v>2534500</v>
      </c>
    </row>
    <row r="620" spans="1:7" ht="19.5" customHeight="1" x14ac:dyDescent="0.25">
      <c r="A620" s="5"/>
      <c r="B620" s="122"/>
      <c r="C620" s="124"/>
      <c r="D620" s="122"/>
      <c r="E620" s="126"/>
      <c r="G620" s="21"/>
    </row>
    <row r="621" spans="1:7" ht="19.5" customHeight="1" x14ac:dyDescent="0.3">
      <c r="A621" s="18" t="s">
        <v>132</v>
      </c>
      <c r="B621" s="5"/>
      <c r="C621" s="6" t="s">
        <v>12</v>
      </c>
      <c r="D621" s="6"/>
      <c r="E621" s="6" t="s">
        <v>13</v>
      </c>
    </row>
    <row r="622" spans="1:7" ht="19.5" customHeight="1" x14ac:dyDescent="0.3">
      <c r="A622" s="7"/>
      <c r="B622" s="37"/>
      <c r="C622" s="26"/>
      <c r="D622" s="8"/>
      <c r="E622" s="8"/>
    </row>
    <row r="623" spans="1:7" ht="19.5" customHeight="1" x14ac:dyDescent="0.3">
      <c r="A623" s="7"/>
      <c r="B623" s="37" t="s">
        <v>133</v>
      </c>
      <c r="C623" s="26">
        <f>10000*30</f>
        <v>300000</v>
      </c>
      <c r="D623" s="8"/>
      <c r="E623" s="8"/>
    </row>
    <row r="624" spans="1:7" ht="19.5" customHeight="1" x14ac:dyDescent="0.3">
      <c r="A624" s="5"/>
      <c r="B624" s="37" t="s">
        <v>134</v>
      </c>
      <c r="C624" s="26">
        <f>5000*9</f>
        <v>45000</v>
      </c>
      <c r="D624" s="8"/>
      <c r="E624" s="8"/>
    </row>
    <row r="625" spans="1:7" ht="19.5" customHeight="1" x14ac:dyDescent="0.3">
      <c r="A625" s="5"/>
      <c r="B625" s="37" t="s">
        <v>135</v>
      </c>
      <c r="C625" s="26">
        <f>1000*13</f>
        <v>13000</v>
      </c>
      <c r="D625" s="8"/>
      <c r="E625" s="8"/>
    </row>
    <row r="626" spans="1:7" ht="19.5" customHeight="1" x14ac:dyDescent="0.3">
      <c r="A626" s="5"/>
      <c r="B626" s="37" t="s">
        <v>136</v>
      </c>
      <c r="C626" s="26">
        <f>200*2</f>
        <v>400</v>
      </c>
      <c r="D626" s="8"/>
      <c r="E626" s="8"/>
      <c r="G626" s="21"/>
    </row>
    <row r="627" spans="1:7" ht="19.5" customHeight="1" x14ac:dyDescent="0.3">
      <c r="A627" s="5"/>
      <c r="B627" s="37" t="s">
        <v>131</v>
      </c>
      <c r="C627" s="26">
        <v>50</v>
      </c>
      <c r="D627" s="8"/>
      <c r="E627" s="8"/>
    </row>
    <row r="628" spans="1:7" ht="19.5" customHeight="1" x14ac:dyDescent="0.3">
      <c r="A628" s="5"/>
      <c r="B628" s="37"/>
      <c r="C628" s="26"/>
      <c r="D628" s="8"/>
      <c r="E628" s="8"/>
      <c r="G628" s="22"/>
    </row>
    <row r="629" spans="1:7" ht="19.5" customHeight="1" x14ac:dyDescent="0.3">
      <c r="A629" s="5"/>
      <c r="B629" s="37"/>
      <c r="C629" s="26"/>
      <c r="D629" s="8"/>
      <c r="E629" s="8"/>
      <c r="F629" s="21"/>
      <c r="G629" s="21"/>
    </row>
    <row r="630" spans="1:7" ht="19.5" customHeight="1" x14ac:dyDescent="0.3">
      <c r="A630" s="5"/>
      <c r="B630" s="37"/>
      <c r="C630" s="26"/>
      <c r="D630" s="8"/>
      <c r="E630" s="8"/>
      <c r="F630" s="21"/>
      <c r="G630" s="21"/>
    </row>
    <row r="631" spans="1:7" ht="19.5" customHeight="1" x14ac:dyDescent="0.3">
      <c r="A631" s="5"/>
      <c r="B631" s="37"/>
      <c r="C631" s="26"/>
      <c r="D631" s="8"/>
      <c r="E631" s="8"/>
      <c r="F631" s="21"/>
      <c r="G631" s="21"/>
    </row>
    <row r="632" spans="1:7" ht="19.5" customHeight="1" x14ac:dyDescent="0.3">
      <c r="A632" s="5"/>
      <c r="B632" s="37"/>
      <c r="C632" s="26"/>
      <c r="D632" s="8"/>
      <c r="E632" s="8"/>
      <c r="F632" s="21"/>
      <c r="G632" s="21"/>
    </row>
    <row r="633" spans="1:7" ht="19.5" customHeight="1" x14ac:dyDescent="0.3">
      <c r="A633" s="5"/>
      <c r="B633" s="37"/>
      <c r="C633" s="26"/>
      <c r="D633" s="8"/>
      <c r="E633" s="8"/>
      <c r="F633" s="21"/>
      <c r="G633" s="21"/>
    </row>
    <row r="634" spans="1:7" ht="19.5" customHeight="1" x14ac:dyDescent="0.3">
      <c r="A634" s="5"/>
      <c r="B634" s="40" t="s">
        <v>14</v>
      </c>
      <c r="C634" s="24">
        <f>244750+280600</f>
        <v>525350</v>
      </c>
      <c r="D634" s="8"/>
      <c r="E634" s="8"/>
    </row>
    <row r="635" spans="1:7" ht="19.5" customHeight="1" x14ac:dyDescent="0.3">
      <c r="A635" s="5"/>
      <c r="B635" s="40" t="s">
        <v>15</v>
      </c>
      <c r="C635" s="26"/>
      <c r="D635" s="8"/>
      <c r="E635" s="8"/>
      <c r="F635" s="21"/>
    </row>
    <row r="636" spans="1:7" ht="19.5" customHeight="1" x14ac:dyDescent="0.3">
      <c r="A636" s="5"/>
      <c r="B636" s="40" t="s">
        <v>16</v>
      </c>
      <c r="C636" s="26"/>
      <c r="D636" s="8"/>
      <c r="E636" s="8"/>
    </row>
    <row r="637" spans="1:7" ht="19.5" customHeight="1" x14ac:dyDescent="0.3">
      <c r="A637" s="5"/>
      <c r="B637" s="40" t="s">
        <v>63</v>
      </c>
      <c r="C637" s="26"/>
      <c r="D637" s="8"/>
      <c r="E637" s="8"/>
    </row>
    <row r="638" spans="1:7" ht="19.5" customHeight="1" x14ac:dyDescent="0.3">
      <c r="A638" s="5"/>
      <c r="B638" s="40" t="s">
        <v>23</v>
      </c>
      <c r="C638" s="26"/>
      <c r="D638" s="8"/>
      <c r="E638" s="8"/>
    </row>
    <row r="639" spans="1:7" ht="19.5" customHeight="1" x14ac:dyDescent="0.3">
      <c r="A639" s="5"/>
      <c r="B639" s="40" t="s">
        <v>63</v>
      </c>
      <c r="C639" s="26"/>
      <c r="D639" s="8"/>
      <c r="E639" s="8"/>
    </row>
    <row r="640" spans="1:7" ht="19.5" customHeight="1" x14ac:dyDescent="0.3">
      <c r="A640" s="5"/>
      <c r="B640" s="40" t="s">
        <v>21</v>
      </c>
      <c r="C640" s="26">
        <v>26000</v>
      </c>
      <c r="D640" s="8"/>
      <c r="E640" s="8"/>
      <c r="F640" s="12" t="s">
        <v>17</v>
      </c>
      <c r="G640" s="13">
        <f>SUM(C623+C624+C625+C626+C627+C628)</f>
        <v>358450</v>
      </c>
    </row>
    <row r="641" spans="1:7" ht="19.5" customHeight="1" x14ac:dyDescent="0.3">
      <c r="A641" s="5"/>
      <c r="B641" s="16" t="s">
        <v>18</v>
      </c>
      <c r="C641" s="37"/>
      <c r="D641" s="8"/>
      <c r="E641" s="8"/>
      <c r="F641" s="12" t="s">
        <v>19</v>
      </c>
      <c r="G641" s="13">
        <f>SUM(C631:C640)</f>
        <v>551350</v>
      </c>
    </row>
    <row r="642" spans="1:7" ht="19.5" customHeight="1" x14ac:dyDescent="0.25">
      <c r="A642" s="5"/>
      <c r="B642" s="121" t="s">
        <v>20</v>
      </c>
      <c r="C642" s="123">
        <f>SUM(C622:C641)</f>
        <v>909800</v>
      </c>
      <c r="D642" s="121" t="s">
        <v>20</v>
      </c>
      <c r="E642" s="125">
        <f>SUM(E624:E640)</f>
        <v>0</v>
      </c>
      <c r="F642" s="14" t="s">
        <v>86</v>
      </c>
      <c r="G642" s="38">
        <f>SUM(G640:G641)</f>
        <v>909800</v>
      </c>
    </row>
    <row r="643" spans="1:7" ht="19.5" customHeight="1" x14ac:dyDescent="0.25">
      <c r="A643" s="5"/>
      <c r="B643" s="122"/>
      <c r="C643" s="124"/>
      <c r="D643" s="122"/>
      <c r="E643" s="126"/>
      <c r="G643" s="21"/>
    </row>
    <row r="644" spans="1:7" ht="19.5" customHeight="1" x14ac:dyDescent="0.3">
      <c r="A644" s="18" t="s">
        <v>137</v>
      </c>
      <c r="B644" s="5"/>
      <c r="C644" s="6" t="s">
        <v>12</v>
      </c>
      <c r="D644" s="6"/>
      <c r="E644" s="6" t="s">
        <v>13</v>
      </c>
    </row>
    <row r="645" spans="1:7" ht="19.5" customHeight="1" x14ac:dyDescent="0.3">
      <c r="A645" s="7"/>
      <c r="B645" s="37"/>
      <c r="C645" s="26"/>
      <c r="D645" s="8"/>
      <c r="E645" s="8"/>
    </row>
    <row r="646" spans="1:7" ht="19.5" customHeight="1" x14ac:dyDescent="0.3">
      <c r="A646" s="7"/>
      <c r="B646" s="37" t="s">
        <v>138</v>
      </c>
      <c r="C646" s="26">
        <f>10000*6</f>
        <v>60000</v>
      </c>
      <c r="D646" s="8"/>
      <c r="E646" s="8"/>
    </row>
    <row r="647" spans="1:7" ht="19.5" customHeight="1" x14ac:dyDescent="0.3">
      <c r="A647" s="5"/>
      <c r="B647" s="37" t="s">
        <v>139</v>
      </c>
      <c r="C647" s="26">
        <f>5000*21</f>
        <v>105000</v>
      </c>
      <c r="D647" s="8"/>
      <c r="E647" s="8"/>
    </row>
    <row r="648" spans="1:7" ht="19.5" customHeight="1" x14ac:dyDescent="0.3">
      <c r="A648" s="5"/>
      <c r="B648" s="37" t="s">
        <v>141</v>
      </c>
      <c r="C648" s="26">
        <f>1000*110</f>
        <v>110000</v>
      </c>
      <c r="D648" s="8"/>
      <c r="E648" s="8"/>
    </row>
    <row r="649" spans="1:7" ht="19.5" customHeight="1" x14ac:dyDescent="0.3">
      <c r="A649" s="5"/>
      <c r="B649" s="37" t="s">
        <v>58</v>
      </c>
      <c r="C649" s="26">
        <f>50*1</f>
        <v>50</v>
      </c>
      <c r="D649" s="8"/>
      <c r="E649" s="8"/>
      <c r="G649" s="21"/>
    </row>
    <row r="650" spans="1:7" ht="19.5" customHeight="1" x14ac:dyDescent="0.3">
      <c r="A650" s="5"/>
      <c r="B650" s="37" t="s">
        <v>140</v>
      </c>
      <c r="C650" s="26">
        <f>5000*1000</f>
        <v>5000000</v>
      </c>
      <c r="D650" s="8"/>
      <c r="E650" s="8"/>
    </row>
    <row r="651" spans="1:7" ht="19.5" customHeight="1" x14ac:dyDescent="0.3">
      <c r="A651" s="5"/>
      <c r="B651" s="37" t="s">
        <v>142</v>
      </c>
      <c r="C651" s="26">
        <f>200*4</f>
        <v>800</v>
      </c>
      <c r="D651" s="8"/>
      <c r="E651" s="8"/>
      <c r="G651" s="22"/>
    </row>
    <row r="652" spans="1:7" ht="19.5" customHeight="1" x14ac:dyDescent="0.3">
      <c r="A652" s="5"/>
      <c r="B652" s="37" t="s">
        <v>119</v>
      </c>
      <c r="C652" s="26">
        <f>100*1</f>
        <v>100</v>
      </c>
      <c r="D652" s="8"/>
      <c r="E652" s="8"/>
      <c r="F652" s="21"/>
      <c r="G652" s="21"/>
    </row>
    <row r="653" spans="1:7" ht="19.5" customHeight="1" x14ac:dyDescent="0.3">
      <c r="A653" s="5"/>
      <c r="B653" s="37"/>
      <c r="C653" s="26"/>
      <c r="D653" s="8"/>
      <c r="E653" s="8"/>
      <c r="F653" s="21"/>
      <c r="G653" s="21"/>
    </row>
    <row r="654" spans="1:7" ht="19.5" customHeight="1" x14ac:dyDescent="0.3">
      <c r="A654" s="5"/>
      <c r="B654" s="37"/>
      <c r="C654" s="26"/>
      <c r="D654" s="8"/>
      <c r="E654" s="8"/>
      <c r="F654" s="21"/>
      <c r="G654" s="21"/>
    </row>
    <row r="655" spans="1:7" ht="19.5" customHeight="1" x14ac:dyDescent="0.3">
      <c r="A655" s="5"/>
      <c r="B655" s="37"/>
      <c r="C655" s="26"/>
      <c r="D655" s="8"/>
      <c r="E655" s="8"/>
      <c r="F655" s="21"/>
      <c r="G655" s="21"/>
    </row>
    <row r="656" spans="1:7" ht="19.5" customHeight="1" x14ac:dyDescent="0.3">
      <c r="A656" s="5"/>
      <c r="B656" s="37"/>
      <c r="C656" s="26"/>
      <c r="D656" s="8"/>
      <c r="E656" s="8"/>
      <c r="F656" s="21"/>
      <c r="G656" s="21"/>
    </row>
    <row r="657" spans="1:7" ht="19.5" customHeight="1" x14ac:dyDescent="0.3">
      <c r="A657" s="5"/>
      <c r="B657" s="40" t="s">
        <v>14</v>
      </c>
      <c r="C657" s="24">
        <f>244750+280600</f>
        <v>525350</v>
      </c>
      <c r="D657" s="8"/>
      <c r="E657" s="8"/>
    </row>
    <row r="658" spans="1:7" ht="19.5" customHeight="1" x14ac:dyDescent="0.3">
      <c r="A658" s="5"/>
      <c r="B658" s="40" t="s">
        <v>15</v>
      </c>
      <c r="C658" s="26"/>
      <c r="D658" s="8"/>
      <c r="E658" s="8"/>
      <c r="F658" s="21"/>
    </row>
    <row r="659" spans="1:7" ht="19.5" customHeight="1" x14ac:dyDescent="0.3">
      <c r="A659" s="5"/>
      <c r="B659" s="40" t="s">
        <v>16</v>
      </c>
      <c r="C659" s="26"/>
      <c r="D659" s="8"/>
      <c r="E659" s="8"/>
    </row>
    <row r="660" spans="1:7" ht="19.5" customHeight="1" x14ac:dyDescent="0.3">
      <c r="A660" s="5"/>
      <c r="B660" s="40" t="s">
        <v>63</v>
      </c>
      <c r="C660" s="26"/>
      <c r="D660" s="8"/>
      <c r="E660" s="8"/>
    </row>
    <row r="661" spans="1:7" ht="19.5" customHeight="1" x14ac:dyDescent="0.3">
      <c r="A661" s="5"/>
      <c r="B661" s="40" t="s">
        <v>23</v>
      </c>
      <c r="C661" s="26"/>
      <c r="D661" s="8"/>
      <c r="E661" s="8"/>
    </row>
    <row r="662" spans="1:7" ht="19.5" customHeight="1" x14ac:dyDescent="0.3">
      <c r="A662" s="5"/>
      <c r="B662" s="40" t="s">
        <v>63</v>
      </c>
      <c r="C662" s="26"/>
      <c r="D662" s="8"/>
      <c r="E662" s="8"/>
    </row>
    <row r="663" spans="1:7" ht="19.5" customHeight="1" x14ac:dyDescent="0.3">
      <c r="A663" s="5"/>
      <c r="B663" s="40" t="s">
        <v>21</v>
      </c>
      <c r="C663" s="26">
        <v>70000</v>
      </c>
      <c r="D663" s="8"/>
      <c r="E663" s="8"/>
      <c r="F663" s="12" t="s">
        <v>17</v>
      </c>
      <c r="G663" s="13">
        <f>SUM(C646+C647+C648+C649+C650+C651)</f>
        <v>5275850</v>
      </c>
    </row>
    <row r="664" spans="1:7" ht="19.5" customHeight="1" x14ac:dyDescent="0.3">
      <c r="A664" s="5"/>
      <c r="B664" s="16" t="s">
        <v>18</v>
      </c>
      <c r="C664" s="37"/>
      <c r="D664" s="8"/>
      <c r="E664" s="8"/>
      <c r="F664" s="12" t="s">
        <v>19</v>
      </c>
      <c r="G664" s="13">
        <f>SUM(C654:C663)</f>
        <v>595350</v>
      </c>
    </row>
    <row r="665" spans="1:7" ht="19.5" customHeight="1" x14ac:dyDescent="0.25">
      <c r="A665" s="5"/>
      <c r="B665" s="121" t="s">
        <v>20</v>
      </c>
      <c r="C665" s="123">
        <f>SUM(C645:C664)</f>
        <v>5871300</v>
      </c>
      <c r="D665" s="121" t="s">
        <v>20</v>
      </c>
      <c r="E665" s="125">
        <f>SUM(E647:E663)</f>
        <v>0</v>
      </c>
      <c r="F665" s="14" t="s">
        <v>86</v>
      </c>
      <c r="G665" s="38">
        <f>SUM(G663:G664)</f>
        <v>5871200</v>
      </c>
    </row>
    <row r="666" spans="1:7" ht="19.5" customHeight="1" x14ac:dyDescent="0.25">
      <c r="A666" s="5"/>
      <c r="B666" s="122"/>
      <c r="C666" s="124"/>
      <c r="D666" s="122"/>
      <c r="E666" s="126"/>
      <c r="G666" s="21"/>
    </row>
    <row r="667" spans="1:7" ht="19.5" customHeight="1" x14ac:dyDescent="0.3">
      <c r="A667" s="18" t="s">
        <v>146</v>
      </c>
      <c r="B667" s="5"/>
      <c r="C667" s="6" t="s">
        <v>12</v>
      </c>
      <c r="D667" s="6"/>
      <c r="E667" s="6" t="s">
        <v>13</v>
      </c>
    </row>
    <row r="668" spans="1:7" ht="19.5" customHeight="1" x14ac:dyDescent="0.3">
      <c r="A668" s="7"/>
      <c r="B668" s="37"/>
      <c r="C668" s="26"/>
      <c r="D668" s="8"/>
      <c r="E668" s="8"/>
    </row>
    <row r="669" spans="1:7" ht="19.5" customHeight="1" x14ac:dyDescent="0.3">
      <c r="A669" s="7"/>
      <c r="B669" s="37" t="s">
        <v>144</v>
      </c>
      <c r="C669" s="26">
        <f>10000*7</f>
        <v>70000</v>
      </c>
      <c r="D669" s="8"/>
      <c r="E669" s="8"/>
    </row>
    <row r="670" spans="1:7" ht="19.5" customHeight="1" x14ac:dyDescent="0.3">
      <c r="A670" s="5"/>
      <c r="B670" s="37" t="s">
        <v>145</v>
      </c>
      <c r="C670" s="26">
        <f>5000*22</f>
        <v>110000</v>
      </c>
      <c r="D670" s="8"/>
      <c r="E670" s="8"/>
    </row>
    <row r="671" spans="1:7" ht="19.5" customHeight="1" x14ac:dyDescent="0.3">
      <c r="A671" s="5"/>
      <c r="B671" s="37" t="s">
        <v>135</v>
      </c>
      <c r="C671" s="26">
        <f>1000*13</f>
        <v>13000</v>
      </c>
      <c r="D671" s="8"/>
      <c r="E671" s="8"/>
    </row>
    <row r="672" spans="1:7" ht="19.5" customHeight="1" x14ac:dyDescent="0.3">
      <c r="A672" s="5"/>
      <c r="B672" s="37" t="s">
        <v>136</v>
      </c>
      <c r="C672" s="26">
        <f>200*2</f>
        <v>400</v>
      </c>
      <c r="D672" s="8"/>
      <c r="E672" s="8"/>
      <c r="G672" s="21"/>
    </row>
    <row r="673" spans="1:7" ht="19.5" customHeight="1" x14ac:dyDescent="0.3">
      <c r="A673" s="5"/>
      <c r="B673" s="50">
        <v>50</v>
      </c>
      <c r="C673" s="26">
        <v>50</v>
      </c>
      <c r="D673" s="8"/>
      <c r="E673" s="8"/>
    </row>
    <row r="674" spans="1:7" ht="19.5" customHeight="1" x14ac:dyDescent="0.3">
      <c r="A674" s="5"/>
      <c r="B674" s="37" t="s">
        <v>54</v>
      </c>
      <c r="C674" s="26">
        <f>5000*100</f>
        <v>500000</v>
      </c>
      <c r="D674" s="8"/>
      <c r="E674" s="8"/>
      <c r="G674" s="22"/>
    </row>
    <row r="675" spans="1:7" ht="19.5" customHeight="1" x14ac:dyDescent="0.3">
      <c r="A675" s="5"/>
      <c r="B675" s="37"/>
      <c r="C675" s="26"/>
      <c r="D675" s="8"/>
      <c r="E675" s="8"/>
      <c r="F675" s="21"/>
      <c r="G675" s="21"/>
    </row>
    <row r="676" spans="1:7" ht="19.5" customHeight="1" x14ac:dyDescent="0.3">
      <c r="A676" s="5"/>
      <c r="B676" s="37"/>
      <c r="C676" s="26"/>
      <c r="D676" s="8"/>
      <c r="E676" s="8"/>
      <c r="F676" s="21"/>
      <c r="G676" s="21"/>
    </row>
    <row r="677" spans="1:7" ht="19.5" customHeight="1" x14ac:dyDescent="0.3">
      <c r="A677" s="5"/>
      <c r="B677" s="37"/>
      <c r="C677" s="26"/>
      <c r="D677" s="8"/>
      <c r="E677" s="8"/>
      <c r="F677" s="21"/>
      <c r="G677" s="21"/>
    </row>
    <row r="678" spans="1:7" ht="19.5" customHeight="1" x14ac:dyDescent="0.3">
      <c r="A678" s="5"/>
      <c r="B678" s="37"/>
      <c r="C678" s="26"/>
      <c r="D678" s="8"/>
      <c r="E678" s="8"/>
      <c r="F678" s="21"/>
      <c r="G678" s="21"/>
    </row>
    <row r="679" spans="1:7" ht="19.5" customHeight="1" x14ac:dyDescent="0.3">
      <c r="A679" s="5"/>
      <c r="B679" s="37"/>
      <c r="C679" s="26"/>
      <c r="D679" s="8"/>
      <c r="E679" s="8"/>
      <c r="F679" s="21"/>
      <c r="G679" s="21"/>
    </row>
    <row r="680" spans="1:7" ht="19.5" customHeight="1" x14ac:dyDescent="0.3">
      <c r="A680" s="5"/>
      <c r="B680" s="40" t="s">
        <v>14</v>
      </c>
      <c r="C680" s="24">
        <f>244750+280600</f>
        <v>525350</v>
      </c>
      <c r="D680" s="8"/>
      <c r="E680" s="8"/>
    </row>
    <row r="681" spans="1:7" ht="19.5" customHeight="1" x14ac:dyDescent="0.3">
      <c r="A681" s="5"/>
      <c r="B681" s="40" t="s">
        <v>15</v>
      </c>
      <c r="C681" s="26">
        <f>5000000+100000-3650000</f>
        <v>1450000</v>
      </c>
      <c r="D681" s="8"/>
      <c r="E681" s="8"/>
      <c r="F681" s="21"/>
    </row>
    <row r="682" spans="1:7" ht="19.5" customHeight="1" x14ac:dyDescent="0.3">
      <c r="A682" s="5"/>
      <c r="B682" s="40" t="s">
        <v>16</v>
      </c>
      <c r="C682" s="26">
        <v>36100</v>
      </c>
      <c r="D682" s="8"/>
      <c r="E682" s="8"/>
    </row>
    <row r="683" spans="1:7" ht="19.5" customHeight="1" x14ac:dyDescent="0.3">
      <c r="A683" s="5"/>
      <c r="B683" s="40" t="s">
        <v>63</v>
      </c>
      <c r="C683" s="26">
        <v>5500</v>
      </c>
      <c r="D683" s="8" t="s">
        <v>143</v>
      </c>
      <c r="E683" s="8"/>
    </row>
    <row r="684" spans="1:7" ht="19.5" customHeight="1" x14ac:dyDescent="0.3">
      <c r="A684" s="5"/>
      <c r="B684" s="40" t="s">
        <v>23</v>
      </c>
      <c r="C684" s="26">
        <v>1100000</v>
      </c>
      <c r="D684" s="8" t="s">
        <v>91</v>
      </c>
      <c r="E684" s="8"/>
    </row>
    <row r="685" spans="1:7" ht="19.5" customHeight="1" x14ac:dyDescent="0.3">
      <c r="A685" s="5"/>
      <c r="B685" s="40" t="s">
        <v>63</v>
      </c>
      <c r="C685" s="26">
        <v>265000</v>
      </c>
      <c r="D685" s="8" t="s">
        <v>108</v>
      </c>
      <c r="E685" s="8"/>
    </row>
    <row r="686" spans="1:7" ht="19.5" customHeight="1" x14ac:dyDescent="0.3">
      <c r="A686" s="5"/>
      <c r="B686" s="40" t="s">
        <v>21</v>
      </c>
      <c r="C686" s="26">
        <f>70000+20000</f>
        <v>90000</v>
      </c>
      <c r="D686" s="8"/>
      <c r="E686" s="8"/>
      <c r="F686" s="12" t="s">
        <v>17</v>
      </c>
      <c r="G686" s="13">
        <f>SUM(C669+C670+C671+C672+C673+C674)</f>
        <v>693450</v>
      </c>
    </row>
    <row r="687" spans="1:7" ht="19.5" customHeight="1" x14ac:dyDescent="0.3">
      <c r="A687" s="5"/>
      <c r="B687" s="16" t="s">
        <v>18</v>
      </c>
      <c r="C687" s="37"/>
      <c r="D687" s="8"/>
      <c r="E687" s="8"/>
      <c r="F687" s="12" t="s">
        <v>19</v>
      </c>
      <c r="G687" s="13">
        <f>SUM(C677:C686)</f>
        <v>3471950</v>
      </c>
    </row>
    <row r="688" spans="1:7" ht="19.5" customHeight="1" x14ac:dyDescent="0.25">
      <c r="A688" s="5"/>
      <c r="B688" s="121" t="s">
        <v>20</v>
      </c>
      <c r="C688" s="123">
        <f>SUM(C668:C687)</f>
        <v>4165400</v>
      </c>
      <c r="D688" s="121" t="s">
        <v>20</v>
      </c>
      <c r="E688" s="125">
        <f>SUM(E670:E686)</f>
        <v>0</v>
      </c>
      <c r="F688" s="14" t="s">
        <v>86</v>
      </c>
      <c r="G688" s="38">
        <f>SUM(G686:G687)</f>
        <v>4165400</v>
      </c>
    </row>
    <row r="689" spans="1:7" ht="19.5" customHeight="1" x14ac:dyDescent="0.25">
      <c r="A689" s="5"/>
      <c r="B689" s="122"/>
      <c r="C689" s="124"/>
      <c r="D689" s="122"/>
      <c r="E689" s="126"/>
      <c r="G689" s="21"/>
    </row>
    <row r="690" spans="1:7" ht="19.5" customHeight="1" x14ac:dyDescent="0.3">
      <c r="A690" s="18" t="s">
        <v>147</v>
      </c>
      <c r="B690" s="5"/>
      <c r="C690" s="6" t="s">
        <v>12</v>
      </c>
      <c r="D690" s="6"/>
      <c r="E690" s="6" t="s">
        <v>13</v>
      </c>
    </row>
    <row r="691" spans="1:7" ht="19.5" customHeight="1" x14ac:dyDescent="0.3">
      <c r="A691" s="7"/>
      <c r="B691" s="37"/>
      <c r="C691" s="26"/>
      <c r="D691" s="8"/>
      <c r="E691" s="8"/>
    </row>
    <row r="692" spans="1:7" ht="19.5" customHeight="1" x14ac:dyDescent="0.3">
      <c r="A692" s="7"/>
      <c r="B692" s="37" t="s">
        <v>148</v>
      </c>
      <c r="C692" s="26">
        <f>10000*8</f>
        <v>80000</v>
      </c>
      <c r="D692" s="8"/>
      <c r="E692" s="8"/>
    </row>
    <row r="693" spans="1:7" ht="19.5" customHeight="1" x14ac:dyDescent="0.3">
      <c r="A693" s="5"/>
      <c r="B693" s="37" t="s">
        <v>149</v>
      </c>
      <c r="C693" s="26">
        <f>5000*24</f>
        <v>120000</v>
      </c>
      <c r="D693" s="8"/>
      <c r="E693" s="8"/>
    </row>
    <row r="694" spans="1:7" ht="19.5" customHeight="1" x14ac:dyDescent="0.3">
      <c r="A694" s="5"/>
      <c r="B694" s="37" t="s">
        <v>135</v>
      </c>
      <c r="C694" s="26">
        <f>1000*13</f>
        <v>13000</v>
      </c>
      <c r="D694" s="8"/>
      <c r="E694" s="8"/>
    </row>
    <row r="695" spans="1:7" ht="19.5" customHeight="1" x14ac:dyDescent="0.3">
      <c r="A695" s="5"/>
      <c r="B695" s="37" t="s">
        <v>54</v>
      </c>
      <c r="C695" s="26">
        <f>5000*100</f>
        <v>500000</v>
      </c>
      <c r="D695" s="8"/>
      <c r="E695" s="8"/>
      <c r="G695" s="21"/>
    </row>
    <row r="696" spans="1:7" ht="19.5" customHeight="1" x14ac:dyDescent="0.3">
      <c r="A696" s="5"/>
      <c r="B696" s="50"/>
      <c r="C696" s="26"/>
      <c r="D696" s="8"/>
      <c r="E696" s="8"/>
    </row>
    <row r="697" spans="1:7" ht="19.5" customHeight="1" x14ac:dyDescent="0.3">
      <c r="A697" s="5"/>
      <c r="B697" s="37"/>
      <c r="C697" s="26"/>
      <c r="D697" s="8"/>
      <c r="E697" s="8"/>
      <c r="G697" s="22"/>
    </row>
    <row r="698" spans="1:7" ht="19.5" customHeight="1" x14ac:dyDescent="0.3">
      <c r="A698" s="5"/>
      <c r="B698" s="37"/>
      <c r="C698" s="26"/>
      <c r="D698" s="8"/>
      <c r="E698" s="8"/>
      <c r="F698" s="21"/>
      <c r="G698" s="21"/>
    </row>
    <row r="699" spans="1:7" ht="19.5" customHeight="1" x14ac:dyDescent="0.3">
      <c r="A699" s="5"/>
      <c r="B699" s="37"/>
      <c r="C699" s="26"/>
      <c r="D699" s="8"/>
      <c r="E699" s="8"/>
      <c r="F699" s="21"/>
      <c r="G699" s="21"/>
    </row>
    <row r="700" spans="1:7" ht="19.5" customHeight="1" x14ac:dyDescent="0.3">
      <c r="A700" s="5"/>
      <c r="B700" s="37"/>
      <c r="C700" s="26"/>
      <c r="D700" s="8"/>
      <c r="E700" s="8"/>
      <c r="F700" s="21"/>
      <c r="G700" s="21"/>
    </row>
    <row r="701" spans="1:7" ht="19.5" customHeight="1" x14ac:dyDescent="0.3">
      <c r="A701" s="5"/>
      <c r="B701" s="37"/>
      <c r="C701" s="26"/>
      <c r="D701" s="8"/>
      <c r="E701" s="8"/>
      <c r="F701" s="21"/>
      <c r="G701" s="21"/>
    </row>
    <row r="702" spans="1:7" ht="19.5" customHeight="1" x14ac:dyDescent="0.3">
      <c r="A702" s="5"/>
      <c r="B702" s="37"/>
      <c r="C702" s="26"/>
      <c r="D702" s="8"/>
      <c r="E702" s="8"/>
      <c r="F702" s="21"/>
      <c r="G702" s="21"/>
    </row>
    <row r="703" spans="1:7" ht="19.5" customHeight="1" x14ac:dyDescent="0.3">
      <c r="A703" s="5"/>
      <c r="B703" s="40" t="s">
        <v>14</v>
      </c>
      <c r="C703" s="24">
        <f>244750+280600</f>
        <v>525350</v>
      </c>
      <c r="D703" s="8"/>
      <c r="E703" s="8"/>
    </row>
    <row r="704" spans="1:7" ht="19.5" customHeight="1" x14ac:dyDescent="0.3">
      <c r="A704" s="5"/>
      <c r="B704" s="40" t="s">
        <v>15</v>
      </c>
      <c r="C704" s="26">
        <f>5000000+100000-3650000</f>
        <v>1450000</v>
      </c>
      <c r="D704" s="8"/>
      <c r="E704" s="8"/>
      <c r="F704" s="21"/>
    </row>
    <row r="705" spans="1:7" ht="19.5" customHeight="1" x14ac:dyDescent="0.3">
      <c r="A705" s="5"/>
      <c r="B705" s="40" t="s">
        <v>16</v>
      </c>
      <c r="C705" s="26">
        <v>36100</v>
      </c>
      <c r="D705" s="8"/>
      <c r="E705" s="8"/>
    </row>
    <row r="706" spans="1:7" ht="19.5" customHeight="1" x14ac:dyDescent="0.3">
      <c r="A706" s="5"/>
      <c r="B706" s="40" t="s">
        <v>63</v>
      </c>
      <c r="C706" s="26">
        <v>5500</v>
      </c>
      <c r="D706" s="8" t="s">
        <v>143</v>
      </c>
      <c r="E706" s="8"/>
    </row>
    <row r="707" spans="1:7" ht="19.5" customHeight="1" x14ac:dyDescent="0.3">
      <c r="A707" s="5"/>
      <c r="B707" s="40" t="s">
        <v>23</v>
      </c>
      <c r="C707" s="26">
        <v>1100000</v>
      </c>
      <c r="D707" s="8" t="s">
        <v>91</v>
      </c>
      <c r="E707" s="8"/>
    </row>
    <row r="708" spans="1:7" ht="19.5" customHeight="1" x14ac:dyDescent="0.3">
      <c r="A708" s="5"/>
      <c r="B708" s="40" t="s">
        <v>63</v>
      </c>
      <c r="C708" s="26">
        <v>265000</v>
      </c>
      <c r="D708" s="8" t="s">
        <v>108</v>
      </c>
      <c r="E708" s="8"/>
    </row>
    <row r="709" spans="1:7" ht="19.5" customHeight="1" x14ac:dyDescent="0.3">
      <c r="A709" s="5"/>
      <c r="B709" s="40" t="s">
        <v>21</v>
      </c>
      <c r="C709" s="26">
        <f>70000+20000</f>
        <v>90000</v>
      </c>
      <c r="D709" s="8"/>
      <c r="E709" s="8"/>
      <c r="F709" s="12" t="s">
        <v>17</v>
      </c>
      <c r="G709" s="13">
        <f>SUM(C692+C693+C694+C695+C696+C697)</f>
        <v>713000</v>
      </c>
    </row>
    <row r="710" spans="1:7" ht="19.5" customHeight="1" x14ac:dyDescent="0.3">
      <c r="A710" s="5"/>
      <c r="B710" s="16" t="s">
        <v>18</v>
      </c>
      <c r="C710" s="37"/>
      <c r="D710" s="8"/>
      <c r="E710" s="8"/>
      <c r="F710" s="12" t="s">
        <v>19</v>
      </c>
      <c r="G710" s="13">
        <f>SUM(C700:C709)</f>
        <v>3471950</v>
      </c>
    </row>
    <row r="711" spans="1:7" ht="19.5" customHeight="1" x14ac:dyDescent="0.25">
      <c r="A711" s="5"/>
      <c r="B711" s="121" t="s">
        <v>20</v>
      </c>
      <c r="C711" s="123">
        <f>SUM(C691:C710)</f>
        <v>4184950</v>
      </c>
      <c r="D711" s="121" t="s">
        <v>20</v>
      </c>
      <c r="E711" s="125">
        <f>SUM(E693:E709)</f>
        <v>0</v>
      </c>
      <c r="F711" s="14" t="s">
        <v>86</v>
      </c>
      <c r="G711" s="38">
        <f>SUM(G709:G710)</f>
        <v>4184950</v>
      </c>
    </row>
    <row r="712" spans="1:7" ht="19.5" customHeight="1" x14ac:dyDescent="0.25">
      <c r="A712" s="5"/>
      <c r="B712" s="122"/>
      <c r="C712" s="124"/>
      <c r="D712" s="122"/>
      <c r="E712" s="126"/>
      <c r="G712" s="21"/>
    </row>
    <row r="713" spans="1:7" ht="19.5" customHeight="1" x14ac:dyDescent="0.3">
      <c r="A713" s="18" t="s">
        <v>150</v>
      </c>
      <c r="B713" s="5"/>
      <c r="C713" s="6" t="s">
        <v>12</v>
      </c>
      <c r="D713" s="6"/>
      <c r="E713" s="6" t="s">
        <v>13</v>
      </c>
    </row>
    <row r="714" spans="1:7" ht="19.5" customHeight="1" x14ac:dyDescent="0.3">
      <c r="A714" s="7"/>
      <c r="B714" s="37"/>
      <c r="C714" s="26"/>
      <c r="D714" s="8"/>
      <c r="E714" s="8"/>
    </row>
    <row r="715" spans="1:7" ht="19.5" customHeight="1" x14ac:dyDescent="0.3">
      <c r="A715" s="7"/>
      <c r="B715" s="37" t="s">
        <v>148</v>
      </c>
      <c r="C715" s="26">
        <f>10000*8</f>
        <v>80000</v>
      </c>
      <c r="D715" s="8"/>
      <c r="E715" s="8"/>
    </row>
    <row r="716" spans="1:7" ht="19.5" customHeight="1" x14ac:dyDescent="0.3">
      <c r="A716" s="5"/>
      <c r="B716" s="37" t="s">
        <v>149</v>
      </c>
      <c r="C716" s="26">
        <f>5000*24</f>
        <v>120000</v>
      </c>
      <c r="D716" s="8"/>
      <c r="E716" s="8"/>
    </row>
    <row r="717" spans="1:7" ht="19.5" customHeight="1" x14ac:dyDescent="0.3">
      <c r="A717" s="5"/>
      <c r="B717" s="37" t="s">
        <v>135</v>
      </c>
      <c r="C717" s="26">
        <f>1000*13</f>
        <v>13000</v>
      </c>
      <c r="D717" s="8"/>
      <c r="E717" s="8"/>
    </row>
    <row r="718" spans="1:7" ht="19.5" customHeight="1" x14ac:dyDescent="0.3">
      <c r="A718" s="5"/>
      <c r="B718" s="37" t="s">
        <v>54</v>
      </c>
      <c r="C718" s="26">
        <f>5000*100</f>
        <v>500000</v>
      </c>
      <c r="D718" s="8"/>
      <c r="E718" s="8"/>
      <c r="G718" s="21"/>
    </row>
    <row r="719" spans="1:7" ht="19.5" customHeight="1" x14ac:dyDescent="0.3">
      <c r="A719" s="5"/>
      <c r="B719" s="50"/>
      <c r="C719" s="26"/>
      <c r="D719" s="8"/>
      <c r="E719" s="8"/>
    </row>
    <row r="720" spans="1:7" ht="19.5" customHeight="1" x14ac:dyDescent="0.3">
      <c r="A720" s="5"/>
      <c r="B720" s="37"/>
      <c r="C720" s="26"/>
      <c r="D720" s="8"/>
      <c r="E720" s="8"/>
      <c r="G720" s="22"/>
    </row>
    <row r="721" spans="1:7" ht="19.5" customHeight="1" x14ac:dyDescent="0.3">
      <c r="A721" s="5"/>
      <c r="B721" s="37"/>
      <c r="C721" s="26"/>
      <c r="D721" s="8"/>
      <c r="E721" s="8"/>
      <c r="F721" s="21"/>
      <c r="G721" s="21"/>
    </row>
    <row r="722" spans="1:7" ht="19.5" customHeight="1" x14ac:dyDescent="0.3">
      <c r="A722" s="5"/>
      <c r="B722" s="37"/>
      <c r="C722" s="26"/>
      <c r="D722" s="8"/>
      <c r="E722" s="8"/>
      <c r="F722" s="21"/>
      <c r="G722" s="21"/>
    </row>
    <row r="723" spans="1:7" ht="19.5" customHeight="1" x14ac:dyDescent="0.3">
      <c r="A723" s="5"/>
      <c r="B723" s="37"/>
      <c r="C723" s="26"/>
      <c r="D723" s="8"/>
      <c r="E723" s="8"/>
      <c r="F723" s="21"/>
      <c r="G723" s="21"/>
    </row>
    <row r="724" spans="1:7" ht="19.5" customHeight="1" x14ac:dyDescent="0.3">
      <c r="A724" s="5"/>
      <c r="B724" s="37"/>
      <c r="C724" s="26"/>
      <c r="D724" s="8"/>
      <c r="E724" s="8"/>
      <c r="F724" s="21"/>
      <c r="G724" s="21"/>
    </row>
    <row r="725" spans="1:7" ht="19.5" customHeight="1" x14ac:dyDescent="0.3">
      <c r="A725" s="5"/>
      <c r="B725" s="37"/>
      <c r="C725" s="26"/>
      <c r="D725" s="8"/>
      <c r="E725" s="8"/>
      <c r="F725" s="21"/>
      <c r="G725" s="21"/>
    </row>
    <row r="726" spans="1:7" ht="19.5" customHeight="1" x14ac:dyDescent="0.3">
      <c r="A726" s="5"/>
      <c r="B726" s="40" t="s">
        <v>14</v>
      </c>
      <c r="C726" s="24">
        <f>244750+280600</f>
        <v>525350</v>
      </c>
      <c r="D726" s="8"/>
      <c r="E726" s="8"/>
    </row>
    <row r="727" spans="1:7" ht="19.5" customHeight="1" x14ac:dyDescent="0.3">
      <c r="A727" s="5"/>
      <c r="B727" s="40" t="s">
        <v>15</v>
      </c>
      <c r="C727" s="26">
        <f>5000000+100000-3650000</f>
        <v>1450000</v>
      </c>
      <c r="D727" s="8"/>
      <c r="E727" s="8"/>
      <c r="F727" s="21"/>
    </row>
    <row r="728" spans="1:7" ht="19.5" customHeight="1" x14ac:dyDescent="0.3">
      <c r="A728" s="5"/>
      <c r="B728" s="40" t="s">
        <v>16</v>
      </c>
      <c r="C728" s="26">
        <f>36100+151000</f>
        <v>187100</v>
      </c>
      <c r="D728" s="8"/>
      <c r="E728" s="8"/>
    </row>
    <row r="729" spans="1:7" ht="19.5" customHeight="1" x14ac:dyDescent="0.3">
      <c r="A729" s="5"/>
      <c r="B729" s="40" t="s">
        <v>63</v>
      </c>
      <c r="C729" s="26">
        <v>5500</v>
      </c>
      <c r="D729" s="8" t="s">
        <v>143</v>
      </c>
      <c r="E729" s="8"/>
    </row>
    <row r="730" spans="1:7" ht="19.5" customHeight="1" x14ac:dyDescent="0.3">
      <c r="A730" s="5"/>
      <c r="B730" s="40" t="s">
        <v>23</v>
      </c>
      <c r="C730" s="26">
        <v>1100000</v>
      </c>
      <c r="D730" s="8" t="s">
        <v>91</v>
      </c>
      <c r="E730" s="8"/>
    </row>
    <row r="731" spans="1:7" ht="19.5" customHeight="1" x14ac:dyDescent="0.3">
      <c r="A731" s="5"/>
      <c r="B731" s="40" t="s">
        <v>63</v>
      </c>
      <c r="C731" s="26">
        <v>265000</v>
      </c>
      <c r="D731" s="8" t="s">
        <v>108</v>
      </c>
      <c r="E731" s="8"/>
    </row>
    <row r="732" spans="1:7" ht="19.5" customHeight="1" x14ac:dyDescent="0.3">
      <c r="A732" s="5"/>
      <c r="B732" s="40" t="s">
        <v>21</v>
      </c>
      <c r="C732" s="26">
        <f>70000+20000</f>
        <v>90000</v>
      </c>
      <c r="D732" s="8"/>
      <c r="E732" s="8"/>
      <c r="F732" s="12" t="s">
        <v>17</v>
      </c>
      <c r="G732" s="13">
        <f>SUM(C715+C716+C717+C718+C719+C720)</f>
        <v>713000</v>
      </c>
    </row>
    <row r="733" spans="1:7" ht="19.5" customHeight="1" x14ac:dyDescent="0.3">
      <c r="A733" s="5"/>
      <c r="B733" s="16" t="s">
        <v>18</v>
      </c>
      <c r="C733" s="37"/>
      <c r="D733" s="8"/>
      <c r="E733" s="8"/>
      <c r="F733" s="12" t="s">
        <v>19</v>
      </c>
      <c r="G733" s="13">
        <f>SUM(C723:C732)</f>
        <v>3622950</v>
      </c>
    </row>
    <row r="734" spans="1:7" ht="19.5" customHeight="1" x14ac:dyDescent="0.25">
      <c r="A734" s="5"/>
      <c r="B734" s="121" t="s">
        <v>20</v>
      </c>
      <c r="C734" s="123">
        <f>SUM(C714:C733)</f>
        <v>4335950</v>
      </c>
      <c r="D734" s="121" t="s">
        <v>20</v>
      </c>
      <c r="E734" s="125">
        <f>SUM(E716:E732)</f>
        <v>0</v>
      </c>
      <c r="F734" s="14" t="s">
        <v>86</v>
      </c>
      <c r="G734" s="38">
        <f>SUM(G732:G733)</f>
        <v>4335950</v>
      </c>
    </row>
    <row r="735" spans="1:7" ht="19.5" customHeight="1" x14ac:dyDescent="0.25">
      <c r="A735" s="5"/>
      <c r="B735" s="122"/>
      <c r="C735" s="124"/>
      <c r="D735" s="122"/>
      <c r="E735" s="126"/>
      <c r="G735" s="21"/>
    </row>
    <row r="736" spans="1:7" ht="19.5" customHeight="1" x14ac:dyDescent="0.3">
      <c r="A736" s="18" t="s">
        <v>151</v>
      </c>
      <c r="B736" s="5"/>
      <c r="C736" s="6" t="s">
        <v>12</v>
      </c>
      <c r="D736" s="6"/>
      <c r="E736" s="6" t="s">
        <v>13</v>
      </c>
    </row>
    <row r="737" spans="1:7" ht="19.5" customHeight="1" x14ac:dyDescent="0.3">
      <c r="A737" s="7"/>
      <c r="B737" s="37"/>
      <c r="C737" s="26"/>
      <c r="D737" s="8"/>
      <c r="E737" s="8"/>
    </row>
    <row r="738" spans="1:7" ht="19.5" customHeight="1" x14ac:dyDescent="0.3">
      <c r="A738" s="7"/>
      <c r="B738" s="37" t="s">
        <v>148</v>
      </c>
      <c r="C738" s="26">
        <f>10000*8</f>
        <v>80000</v>
      </c>
      <c r="D738" s="8"/>
      <c r="E738" s="8"/>
    </row>
    <row r="739" spans="1:7" ht="19.5" customHeight="1" x14ac:dyDescent="0.3">
      <c r="A739" s="5"/>
      <c r="B739" s="37" t="s">
        <v>149</v>
      </c>
      <c r="C739" s="26">
        <f>5000*24</f>
        <v>120000</v>
      </c>
      <c r="D739" s="8"/>
      <c r="E739" s="8"/>
    </row>
    <row r="740" spans="1:7" ht="19.5" customHeight="1" x14ac:dyDescent="0.3">
      <c r="A740" s="5"/>
      <c r="B740" s="37" t="s">
        <v>135</v>
      </c>
      <c r="C740" s="26">
        <f>1000*13</f>
        <v>13000</v>
      </c>
      <c r="D740" s="8"/>
      <c r="E740" s="8"/>
    </row>
    <row r="741" spans="1:7" ht="19.5" customHeight="1" x14ac:dyDescent="0.3">
      <c r="A741" s="5"/>
      <c r="B741" s="37" t="s">
        <v>54</v>
      </c>
      <c r="C741" s="26">
        <f>5000*100</f>
        <v>500000</v>
      </c>
      <c r="D741" s="8"/>
      <c r="E741" s="8"/>
      <c r="G741" s="21"/>
    </row>
    <row r="742" spans="1:7" ht="19.5" customHeight="1" x14ac:dyDescent="0.3">
      <c r="A742" s="5"/>
      <c r="B742" s="50"/>
      <c r="C742" s="26"/>
      <c r="D742" s="8"/>
      <c r="E742" s="8"/>
    </row>
    <row r="743" spans="1:7" ht="19.5" hidden="1" customHeight="1" x14ac:dyDescent="0.3">
      <c r="A743" s="5"/>
      <c r="B743" s="37"/>
      <c r="C743" s="26"/>
      <c r="D743" s="8"/>
      <c r="E743" s="8"/>
      <c r="G743" s="22"/>
    </row>
    <row r="744" spans="1:7" ht="19.5" hidden="1" customHeight="1" x14ac:dyDescent="0.3">
      <c r="A744" s="5"/>
      <c r="B744" s="37"/>
      <c r="C744" s="26"/>
      <c r="D744" s="8"/>
      <c r="E744" s="8"/>
      <c r="F744" s="21"/>
      <c r="G744" s="21"/>
    </row>
    <row r="745" spans="1:7" ht="19.5" hidden="1" customHeight="1" x14ac:dyDescent="0.3">
      <c r="A745" s="5"/>
      <c r="B745" s="37"/>
      <c r="C745" s="26"/>
      <c r="D745" s="8"/>
      <c r="E745" s="8"/>
      <c r="F745" s="21"/>
      <c r="G745" s="21"/>
    </row>
    <row r="746" spans="1:7" ht="19.5" hidden="1" customHeight="1" x14ac:dyDescent="0.3">
      <c r="A746" s="5"/>
      <c r="B746" s="37"/>
      <c r="C746" s="26"/>
      <c r="D746" s="8"/>
      <c r="E746" s="8"/>
      <c r="F746" s="21"/>
      <c r="G746" s="21"/>
    </row>
    <row r="747" spans="1:7" ht="19.5" customHeight="1" x14ac:dyDescent="0.3">
      <c r="A747" s="5"/>
      <c r="B747" s="37"/>
      <c r="C747" s="26"/>
      <c r="D747" s="8"/>
      <c r="E747" s="8"/>
      <c r="F747" s="21"/>
      <c r="G747" s="21"/>
    </row>
    <row r="748" spans="1:7" ht="19.5" customHeight="1" x14ac:dyDescent="0.3">
      <c r="A748" s="5"/>
      <c r="B748" s="37"/>
      <c r="C748" s="26"/>
      <c r="D748" s="8"/>
      <c r="E748" s="8"/>
      <c r="F748" s="21"/>
      <c r="G748" s="21"/>
    </row>
    <row r="749" spans="1:7" ht="19.5" customHeight="1" x14ac:dyDescent="0.3">
      <c r="A749" s="5"/>
      <c r="B749" s="40" t="s">
        <v>14</v>
      </c>
      <c r="C749" s="26"/>
      <c r="D749" s="8"/>
      <c r="E749" s="8"/>
    </row>
    <row r="750" spans="1:7" ht="19.5" customHeight="1" x14ac:dyDescent="0.3">
      <c r="A750" s="5"/>
      <c r="B750" s="40" t="s">
        <v>15</v>
      </c>
      <c r="C750" s="26">
        <f>5000000+100000-3650000+2700000</f>
        <v>4150000</v>
      </c>
      <c r="D750" s="8" t="s">
        <v>152</v>
      </c>
      <c r="E750" s="8"/>
      <c r="F750" s="21"/>
    </row>
    <row r="751" spans="1:7" ht="19.5" customHeight="1" x14ac:dyDescent="0.3">
      <c r="A751" s="5"/>
      <c r="B751" s="40" t="s">
        <v>16</v>
      </c>
      <c r="C751" s="26">
        <f>36100+151000+87500</f>
        <v>274600</v>
      </c>
      <c r="D751" s="8"/>
      <c r="E751" s="8"/>
    </row>
    <row r="752" spans="1:7" ht="19.5" customHeight="1" x14ac:dyDescent="0.3">
      <c r="A752" s="5"/>
      <c r="B752" s="40"/>
      <c r="C752" s="26"/>
      <c r="D752" s="8"/>
      <c r="E752" s="8"/>
    </row>
    <row r="753" spans="1:7" ht="19.5" customHeight="1" x14ac:dyDescent="0.3">
      <c r="A753" s="5"/>
      <c r="B753" s="40" t="s">
        <v>23</v>
      </c>
      <c r="C753" s="26">
        <v>1100000</v>
      </c>
      <c r="D753" s="8" t="s">
        <v>91</v>
      </c>
      <c r="E753" s="8"/>
    </row>
    <row r="754" spans="1:7" ht="19.5" customHeight="1" x14ac:dyDescent="0.3">
      <c r="A754" s="5"/>
      <c r="B754" s="40" t="s">
        <v>63</v>
      </c>
      <c r="C754" s="26">
        <f>265000+5500</f>
        <v>270500</v>
      </c>
      <c r="D754" s="8" t="s">
        <v>108</v>
      </c>
      <c r="E754" s="8"/>
    </row>
    <row r="755" spans="1:7" ht="19.5" customHeight="1" x14ac:dyDescent="0.3">
      <c r="A755" s="5"/>
      <c r="B755" s="40" t="s">
        <v>21</v>
      </c>
      <c r="C755" s="26">
        <f>70000+20000+31000</f>
        <v>121000</v>
      </c>
      <c r="D755" s="8"/>
      <c r="E755" s="8"/>
      <c r="F755" s="12" t="s">
        <v>17</v>
      </c>
      <c r="G755" s="13">
        <f>SUM(C738+C739+C740+C741+C742+C743)</f>
        <v>713000</v>
      </c>
    </row>
    <row r="756" spans="1:7" ht="19.5" customHeight="1" x14ac:dyDescent="0.3">
      <c r="A756" s="5"/>
      <c r="B756" s="16" t="s">
        <v>18</v>
      </c>
      <c r="C756" s="37"/>
      <c r="D756" s="8"/>
      <c r="E756" s="8"/>
      <c r="F756" s="12" t="s">
        <v>19</v>
      </c>
      <c r="G756" s="13">
        <f>SUM(C746:C755)</f>
        <v>5916100</v>
      </c>
    </row>
    <row r="757" spans="1:7" ht="19.5" customHeight="1" x14ac:dyDescent="0.25">
      <c r="A757" s="5"/>
      <c r="B757" s="121" t="s">
        <v>20</v>
      </c>
      <c r="C757" s="123">
        <f>SUM(C737:C756)</f>
        <v>6629100</v>
      </c>
      <c r="D757" s="121" t="s">
        <v>20</v>
      </c>
      <c r="E757" s="125">
        <f>SUM(E739:E755)</f>
        <v>0</v>
      </c>
      <c r="F757" s="14" t="s">
        <v>86</v>
      </c>
      <c r="G757" s="38">
        <f>SUM(G755:G756)</f>
        <v>6629100</v>
      </c>
    </row>
    <row r="758" spans="1:7" ht="19.5" customHeight="1" x14ac:dyDescent="0.25">
      <c r="A758" s="5"/>
      <c r="B758" s="122"/>
      <c r="C758" s="124"/>
      <c r="D758" s="122"/>
      <c r="E758" s="126"/>
      <c r="G758" s="21"/>
    </row>
    <row r="759" spans="1:7" ht="19.5" customHeight="1" x14ac:dyDescent="0.3">
      <c r="A759" s="18" t="s">
        <v>153</v>
      </c>
      <c r="B759" s="5"/>
      <c r="C759" s="6" t="s">
        <v>12</v>
      </c>
      <c r="D759" s="6"/>
      <c r="E759" s="6" t="s">
        <v>13</v>
      </c>
    </row>
    <row r="760" spans="1:7" ht="19.5" customHeight="1" x14ac:dyDescent="0.3">
      <c r="A760" s="7"/>
      <c r="B760" s="37"/>
      <c r="C760" s="26"/>
      <c r="D760" s="8"/>
      <c r="E760" s="8"/>
    </row>
    <row r="761" spans="1:7" ht="19.5" customHeight="1" x14ac:dyDescent="0.3">
      <c r="A761" s="7"/>
      <c r="B761" s="37" t="s">
        <v>148</v>
      </c>
      <c r="C761" s="26">
        <f>10000*8</f>
        <v>80000</v>
      </c>
      <c r="D761" s="8"/>
      <c r="E761" s="8"/>
    </row>
    <row r="762" spans="1:7" ht="19.5" customHeight="1" x14ac:dyDescent="0.3">
      <c r="A762" s="5"/>
      <c r="B762" s="37" t="s">
        <v>149</v>
      </c>
      <c r="C762" s="26">
        <f>5000*24</f>
        <v>120000</v>
      </c>
      <c r="D762" s="8"/>
      <c r="E762" s="8"/>
    </row>
    <row r="763" spans="1:7" ht="19.5" customHeight="1" x14ac:dyDescent="0.3">
      <c r="A763" s="5"/>
      <c r="B763" s="37" t="s">
        <v>135</v>
      </c>
      <c r="C763" s="26">
        <f>1000*13</f>
        <v>13000</v>
      </c>
      <c r="D763" s="8"/>
      <c r="E763" s="8"/>
    </row>
    <row r="764" spans="1:7" ht="19.5" customHeight="1" x14ac:dyDescent="0.3">
      <c r="A764" s="5"/>
      <c r="B764" s="37" t="s">
        <v>54</v>
      </c>
      <c r="C764" s="26">
        <f>5000*100</f>
        <v>500000</v>
      </c>
      <c r="D764" s="8"/>
      <c r="E764" s="8"/>
      <c r="G764" s="21"/>
    </row>
    <row r="765" spans="1:7" ht="19.5" customHeight="1" x14ac:dyDescent="0.3">
      <c r="A765" s="5"/>
      <c r="B765" s="50"/>
      <c r="C765" s="26"/>
      <c r="D765" s="8"/>
      <c r="E765" s="8"/>
    </row>
    <row r="766" spans="1:7" ht="19.5" hidden="1" customHeight="1" x14ac:dyDescent="0.3">
      <c r="A766" s="5"/>
      <c r="B766" s="37"/>
      <c r="C766" s="26"/>
      <c r="D766" s="8"/>
      <c r="E766" s="8"/>
      <c r="G766" s="22"/>
    </row>
    <row r="767" spans="1:7" ht="19.5" hidden="1" customHeight="1" x14ac:dyDescent="0.3">
      <c r="A767" s="5"/>
      <c r="B767" s="37"/>
      <c r="C767" s="26"/>
      <c r="D767" s="8"/>
      <c r="E767" s="8"/>
      <c r="F767" s="21"/>
      <c r="G767" s="21"/>
    </row>
    <row r="768" spans="1:7" ht="19.5" hidden="1" customHeight="1" x14ac:dyDescent="0.3">
      <c r="A768" s="5"/>
      <c r="B768" s="37"/>
      <c r="C768" s="26"/>
      <c r="D768" s="8"/>
      <c r="E768" s="8"/>
      <c r="F768" s="21"/>
      <c r="G768" s="21"/>
    </row>
    <row r="769" spans="1:7" ht="19.5" hidden="1" customHeight="1" x14ac:dyDescent="0.3">
      <c r="A769" s="5"/>
      <c r="B769" s="37"/>
      <c r="C769" s="26"/>
      <c r="D769" s="8"/>
      <c r="E769" s="8"/>
      <c r="F769" s="21"/>
      <c r="G769" s="21"/>
    </row>
    <row r="770" spans="1:7" ht="19.5" hidden="1" customHeight="1" x14ac:dyDescent="0.3">
      <c r="A770" s="5"/>
      <c r="B770" s="37"/>
      <c r="C770" s="26"/>
      <c r="D770" s="8"/>
      <c r="E770" s="8"/>
      <c r="F770" s="21"/>
      <c r="G770" s="21"/>
    </row>
    <row r="771" spans="1:7" ht="19.5" customHeight="1" x14ac:dyDescent="0.3">
      <c r="A771" s="5"/>
      <c r="B771" s="37"/>
      <c r="C771" s="26"/>
      <c r="D771" s="8"/>
      <c r="E771" s="8"/>
      <c r="F771" s="21"/>
      <c r="G771" s="21"/>
    </row>
    <row r="772" spans="1:7" ht="19.5" customHeight="1" x14ac:dyDescent="0.3">
      <c r="A772" s="5"/>
      <c r="B772" s="40" t="s">
        <v>14</v>
      </c>
      <c r="C772" s="26"/>
      <c r="D772" s="8"/>
      <c r="E772" s="8"/>
    </row>
    <row r="773" spans="1:7" ht="19.5" customHeight="1" x14ac:dyDescent="0.3">
      <c r="A773" s="5"/>
      <c r="B773" s="40" t="s">
        <v>15</v>
      </c>
      <c r="C773" s="26">
        <f>5000000+100000-3650000+2700000+655000</f>
        <v>4805000</v>
      </c>
      <c r="D773" s="8" t="s">
        <v>154</v>
      </c>
      <c r="E773" s="8"/>
      <c r="F773" s="21"/>
    </row>
    <row r="774" spans="1:7" ht="19.5" customHeight="1" x14ac:dyDescent="0.3">
      <c r="A774" s="5"/>
      <c r="B774" s="40" t="s">
        <v>16</v>
      </c>
      <c r="C774" s="26">
        <f>36100+151000+87500</f>
        <v>274600</v>
      </c>
      <c r="D774" s="8"/>
      <c r="E774" s="8"/>
    </row>
    <row r="775" spans="1:7" ht="19.5" customHeight="1" x14ac:dyDescent="0.3">
      <c r="A775" s="5"/>
      <c r="B775" s="40"/>
      <c r="C775" s="26"/>
      <c r="D775" s="8"/>
      <c r="E775" s="8"/>
    </row>
    <row r="776" spans="1:7" ht="19.5" customHeight="1" x14ac:dyDescent="0.3">
      <c r="A776" s="5"/>
      <c r="B776" s="40" t="s">
        <v>23</v>
      </c>
      <c r="C776" s="26">
        <v>1100000</v>
      </c>
      <c r="D776" s="8" t="s">
        <v>91</v>
      </c>
      <c r="E776" s="8"/>
    </row>
    <row r="777" spans="1:7" ht="19.5" customHeight="1" x14ac:dyDescent="0.3">
      <c r="A777" s="5"/>
      <c r="B777" s="40" t="s">
        <v>63</v>
      </c>
      <c r="C777" s="26">
        <f>265000+5500</f>
        <v>270500</v>
      </c>
      <c r="D777" s="8" t="s">
        <v>108</v>
      </c>
      <c r="E777" s="8"/>
    </row>
    <row r="778" spans="1:7" ht="19.5" customHeight="1" x14ac:dyDescent="0.3">
      <c r="A778" s="5"/>
      <c r="B778" s="40" t="s">
        <v>21</v>
      </c>
      <c r="C778" s="26">
        <f>70000+20000+31000</f>
        <v>121000</v>
      </c>
      <c r="D778" s="8"/>
      <c r="E778" s="8"/>
      <c r="F778" s="12" t="s">
        <v>17</v>
      </c>
      <c r="G778" s="13">
        <f>SUM(C761+C762+C763+C764+C765+C766)</f>
        <v>713000</v>
      </c>
    </row>
    <row r="779" spans="1:7" ht="19.5" customHeight="1" x14ac:dyDescent="0.3">
      <c r="A779" s="5"/>
      <c r="B779" s="16" t="s">
        <v>18</v>
      </c>
      <c r="C779" s="37"/>
      <c r="D779" s="8"/>
      <c r="E779" s="8"/>
      <c r="F779" s="12" t="s">
        <v>19</v>
      </c>
      <c r="G779" s="13">
        <f>SUM(C769:C778)</f>
        <v>6571100</v>
      </c>
    </row>
    <row r="780" spans="1:7" ht="19.5" customHeight="1" x14ac:dyDescent="0.25">
      <c r="A780" s="5"/>
      <c r="B780" s="121" t="s">
        <v>20</v>
      </c>
      <c r="C780" s="123">
        <f>SUM(C760:C779)</f>
        <v>7284100</v>
      </c>
      <c r="D780" s="121" t="s">
        <v>20</v>
      </c>
      <c r="E780" s="125">
        <f>SUM(E762:E778)</f>
        <v>0</v>
      </c>
      <c r="F780" s="14" t="s">
        <v>86</v>
      </c>
      <c r="G780" s="38">
        <f>SUM(G778:G779)</f>
        <v>7284100</v>
      </c>
    </row>
    <row r="781" spans="1:7" ht="19.5" customHeight="1" x14ac:dyDescent="0.25">
      <c r="A781" s="5"/>
      <c r="B781" s="122"/>
      <c r="C781" s="124"/>
      <c r="D781" s="122"/>
      <c r="E781" s="126"/>
      <c r="G781" s="21"/>
    </row>
    <row r="782" spans="1:7" ht="19.5" customHeight="1" x14ac:dyDescent="0.3">
      <c r="A782" s="18" t="s">
        <v>156</v>
      </c>
      <c r="B782" s="5"/>
      <c r="C782" s="6" t="s">
        <v>12</v>
      </c>
      <c r="D782" s="6"/>
      <c r="E782" s="6" t="s">
        <v>13</v>
      </c>
    </row>
    <row r="783" spans="1:7" ht="19.5" customHeight="1" x14ac:dyDescent="0.3">
      <c r="A783" s="7"/>
      <c r="B783" s="37"/>
      <c r="C783" s="26"/>
      <c r="D783" s="8"/>
      <c r="E783" s="8"/>
    </row>
    <row r="784" spans="1:7" ht="19.5" customHeight="1" x14ac:dyDescent="0.3">
      <c r="A784" s="7"/>
      <c r="B784" s="37" t="s">
        <v>148</v>
      </c>
      <c r="C784" s="26">
        <f>10000*8</f>
        <v>80000</v>
      </c>
      <c r="D784" s="8"/>
      <c r="E784" s="8"/>
    </row>
    <row r="785" spans="1:7" ht="19.5" customHeight="1" x14ac:dyDescent="0.3">
      <c r="A785" s="5"/>
      <c r="B785" s="37" t="s">
        <v>149</v>
      </c>
      <c r="C785" s="26">
        <f>5000*24</f>
        <v>120000</v>
      </c>
      <c r="D785" s="8"/>
      <c r="E785" s="8"/>
    </row>
    <row r="786" spans="1:7" ht="19.5" customHeight="1" x14ac:dyDescent="0.3">
      <c r="A786" s="5"/>
      <c r="B786" s="37" t="s">
        <v>135</v>
      </c>
      <c r="C786" s="26">
        <f>1000*13</f>
        <v>13000</v>
      </c>
      <c r="D786" s="8"/>
      <c r="E786" s="8"/>
    </row>
    <row r="787" spans="1:7" ht="19.5" customHeight="1" x14ac:dyDescent="0.3">
      <c r="A787" s="5"/>
      <c r="B787" s="37" t="s">
        <v>54</v>
      </c>
      <c r="C787" s="26">
        <f>5000*100</f>
        <v>500000</v>
      </c>
      <c r="D787" s="8"/>
      <c r="E787" s="8"/>
      <c r="G787" s="21"/>
    </row>
    <row r="788" spans="1:7" ht="19.5" customHeight="1" x14ac:dyDescent="0.3">
      <c r="A788" s="5"/>
      <c r="B788" s="50"/>
      <c r="C788" s="26"/>
      <c r="D788" s="8"/>
      <c r="E788" s="8"/>
    </row>
    <row r="789" spans="1:7" ht="19.5" hidden="1" customHeight="1" x14ac:dyDescent="0.3">
      <c r="A789" s="5"/>
      <c r="B789" s="37"/>
      <c r="C789" s="26"/>
      <c r="D789" s="8"/>
      <c r="E789" s="8"/>
      <c r="G789" s="22"/>
    </row>
    <row r="790" spans="1:7" ht="19.5" hidden="1" customHeight="1" x14ac:dyDescent="0.3">
      <c r="A790" s="5"/>
      <c r="B790" s="37"/>
      <c r="C790" s="26"/>
      <c r="D790" s="8"/>
      <c r="E790" s="8"/>
      <c r="F790" s="21"/>
      <c r="G790" s="21"/>
    </row>
    <row r="791" spans="1:7" ht="19.5" hidden="1" customHeight="1" x14ac:dyDescent="0.3">
      <c r="A791" s="5"/>
      <c r="B791" s="37"/>
      <c r="C791" s="26"/>
      <c r="D791" s="8"/>
      <c r="E791" s="8"/>
      <c r="F791" s="21"/>
      <c r="G791" s="21"/>
    </row>
    <row r="792" spans="1:7" ht="19.5" hidden="1" customHeight="1" x14ac:dyDescent="0.3">
      <c r="A792" s="5"/>
      <c r="B792" s="37"/>
      <c r="C792" s="26"/>
      <c r="D792" s="8"/>
      <c r="E792" s="8"/>
      <c r="F792" s="21"/>
      <c r="G792" s="21"/>
    </row>
    <row r="793" spans="1:7" ht="19.5" hidden="1" customHeight="1" x14ac:dyDescent="0.3">
      <c r="A793" s="5"/>
      <c r="B793" s="37"/>
      <c r="C793" s="26"/>
      <c r="D793" s="8"/>
      <c r="E793" s="8"/>
      <c r="F793" s="21"/>
      <c r="G793" s="21"/>
    </row>
    <row r="794" spans="1:7" ht="19.5" customHeight="1" x14ac:dyDescent="0.3">
      <c r="A794" s="5"/>
      <c r="B794" s="37"/>
      <c r="C794" s="26"/>
      <c r="D794" s="8"/>
      <c r="E794" s="8"/>
      <c r="F794" s="21"/>
      <c r="G794" s="21"/>
    </row>
    <row r="795" spans="1:7" ht="19.5" customHeight="1" x14ac:dyDescent="0.3">
      <c r="A795" s="5"/>
      <c r="B795" s="40" t="s">
        <v>14</v>
      </c>
      <c r="C795" s="26"/>
      <c r="D795" s="8"/>
      <c r="E795" s="8"/>
    </row>
    <row r="796" spans="1:7" ht="19.5" customHeight="1" x14ac:dyDescent="0.3">
      <c r="A796" s="5"/>
      <c r="B796" s="40" t="s">
        <v>15</v>
      </c>
      <c r="C796" s="26">
        <f>5000000+100000-3650000+2700000+655000+265000</f>
        <v>5070000</v>
      </c>
      <c r="D796" s="8" t="s">
        <v>155</v>
      </c>
      <c r="E796" s="8"/>
      <c r="F796" s="21"/>
    </row>
    <row r="797" spans="1:7" ht="19.5" customHeight="1" x14ac:dyDescent="0.3">
      <c r="A797" s="5"/>
      <c r="B797" s="40" t="s">
        <v>16</v>
      </c>
      <c r="C797" s="26">
        <f>36100+151000+87500+270500</f>
        <v>545100</v>
      </c>
      <c r="D797" s="8"/>
      <c r="E797" s="8"/>
    </row>
    <row r="798" spans="1:7" ht="19.5" customHeight="1" x14ac:dyDescent="0.3">
      <c r="A798" s="5"/>
      <c r="B798" s="40"/>
      <c r="C798" s="26"/>
      <c r="D798" s="8"/>
      <c r="E798" s="8"/>
    </row>
    <row r="799" spans="1:7" ht="19.5" customHeight="1" x14ac:dyDescent="0.3">
      <c r="A799" s="5"/>
      <c r="B799" s="40" t="s">
        <v>23</v>
      </c>
      <c r="C799" s="26">
        <v>1100000</v>
      </c>
      <c r="D799" s="8" t="s">
        <v>91</v>
      </c>
      <c r="E799" s="8"/>
    </row>
    <row r="800" spans="1:7" ht="19.5" customHeight="1" x14ac:dyDescent="0.3">
      <c r="A800" s="5"/>
      <c r="B800" s="40" t="s">
        <v>63</v>
      </c>
      <c r="C800" s="26"/>
      <c r="D800" s="8"/>
      <c r="E800" s="8"/>
    </row>
    <row r="801" spans="1:7" ht="19.5" customHeight="1" x14ac:dyDescent="0.3">
      <c r="A801" s="5"/>
      <c r="B801" s="40" t="s">
        <v>21</v>
      </c>
      <c r="C801" s="26">
        <f>70000+20000+31000</f>
        <v>121000</v>
      </c>
      <c r="D801" s="8"/>
      <c r="E801" s="8"/>
      <c r="F801" s="12" t="s">
        <v>17</v>
      </c>
      <c r="G801" s="13">
        <f>SUM(C784+C785+C786+C787+C788+C789)</f>
        <v>713000</v>
      </c>
    </row>
    <row r="802" spans="1:7" ht="19.5" customHeight="1" x14ac:dyDescent="0.3">
      <c r="A802" s="5"/>
      <c r="B802" s="16" t="s">
        <v>18</v>
      </c>
      <c r="C802" s="37"/>
      <c r="D802" s="8"/>
      <c r="E802" s="8"/>
      <c r="F802" s="12" t="s">
        <v>19</v>
      </c>
      <c r="G802" s="13">
        <f>SUM(C792:C801)</f>
        <v>6836100</v>
      </c>
    </row>
    <row r="803" spans="1:7" ht="19.5" customHeight="1" x14ac:dyDescent="0.25">
      <c r="A803" s="5"/>
      <c r="B803" s="121" t="s">
        <v>20</v>
      </c>
      <c r="C803" s="123">
        <f>SUM(C783:C802)</f>
        <v>7549100</v>
      </c>
      <c r="D803" s="121" t="s">
        <v>20</v>
      </c>
      <c r="E803" s="125">
        <f>SUM(E785:E801)</f>
        <v>0</v>
      </c>
      <c r="F803" s="14" t="s">
        <v>86</v>
      </c>
      <c r="G803" s="38">
        <f>SUM(G801:G802)</f>
        <v>7549100</v>
      </c>
    </row>
    <row r="804" spans="1:7" ht="19.5" customHeight="1" x14ac:dyDescent="0.25">
      <c r="A804" s="5"/>
      <c r="B804" s="122"/>
      <c r="C804" s="124"/>
      <c r="D804" s="122"/>
      <c r="E804" s="126"/>
      <c r="G804" s="21"/>
    </row>
    <row r="805" spans="1:7" ht="19.5" customHeight="1" x14ac:dyDescent="0.3">
      <c r="A805" s="18" t="s">
        <v>157</v>
      </c>
      <c r="B805" s="5"/>
      <c r="C805" s="6" t="s">
        <v>12</v>
      </c>
      <c r="D805" s="6"/>
      <c r="E805" s="6" t="s">
        <v>13</v>
      </c>
    </row>
    <row r="806" spans="1:7" ht="19.5" customHeight="1" x14ac:dyDescent="0.3">
      <c r="A806" s="7"/>
      <c r="B806" s="37"/>
      <c r="C806" s="26"/>
      <c r="D806" s="8"/>
      <c r="E806" s="8"/>
    </row>
    <row r="807" spans="1:7" ht="19.5" customHeight="1" x14ac:dyDescent="0.3">
      <c r="A807" s="7"/>
      <c r="B807" s="37" t="s">
        <v>148</v>
      </c>
      <c r="C807" s="26">
        <f>10000*8</f>
        <v>80000</v>
      </c>
      <c r="D807" s="8"/>
      <c r="E807" s="8"/>
    </row>
    <row r="808" spans="1:7" ht="19.5" customHeight="1" x14ac:dyDescent="0.3">
      <c r="A808" s="5"/>
      <c r="B808" s="37" t="s">
        <v>149</v>
      </c>
      <c r="C808" s="26">
        <f>5000*24</f>
        <v>120000</v>
      </c>
      <c r="D808" s="8"/>
      <c r="E808" s="8"/>
    </row>
    <row r="809" spans="1:7" ht="19.5" customHeight="1" x14ac:dyDescent="0.3">
      <c r="A809" s="5"/>
      <c r="B809" s="37" t="s">
        <v>158</v>
      </c>
      <c r="C809" s="26">
        <f>1000*351</f>
        <v>351000</v>
      </c>
      <c r="D809" s="8"/>
      <c r="E809" s="8"/>
    </row>
    <row r="810" spans="1:7" ht="19.5" customHeight="1" x14ac:dyDescent="0.3">
      <c r="A810" s="5"/>
      <c r="B810" s="37" t="s">
        <v>54</v>
      </c>
      <c r="C810" s="26">
        <f>5000*100</f>
        <v>500000</v>
      </c>
      <c r="D810" s="8"/>
      <c r="E810" s="8"/>
      <c r="G810" s="21"/>
    </row>
    <row r="811" spans="1:7" ht="19.5" customHeight="1" x14ac:dyDescent="0.3">
      <c r="A811" s="5"/>
      <c r="B811" s="50" t="s">
        <v>119</v>
      </c>
      <c r="C811" s="26">
        <f>100*1</f>
        <v>100</v>
      </c>
      <c r="D811" s="8"/>
      <c r="E811" s="8"/>
    </row>
    <row r="812" spans="1:7" ht="19.5" customHeight="1" x14ac:dyDescent="0.3">
      <c r="A812" s="5"/>
      <c r="B812" s="37"/>
      <c r="C812" s="26"/>
      <c r="D812" s="8"/>
      <c r="E812" s="8"/>
      <c r="G812" s="22"/>
    </row>
    <row r="813" spans="1:7" ht="19.5" customHeight="1" x14ac:dyDescent="0.3">
      <c r="A813" s="5"/>
      <c r="B813" s="37"/>
      <c r="C813" s="26"/>
      <c r="D813" s="8"/>
      <c r="E813" s="8"/>
      <c r="F813" s="21"/>
      <c r="G813" s="21"/>
    </row>
    <row r="814" spans="1:7" ht="19.5" customHeight="1" x14ac:dyDescent="0.3">
      <c r="A814" s="5"/>
      <c r="B814" s="37"/>
      <c r="C814" s="26"/>
      <c r="D814" s="8"/>
      <c r="E814" s="8"/>
      <c r="F814" s="21"/>
      <c r="G814" s="21"/>
    </row>
    <row r="815" spans="1:7" ht="19.5" customHeight="1" x14ac:dyDescent="0.3">
      <c r="A815" s="5"/>
      <c r="B815" s="37"/>
      <c r="C815" s="26"/>
      <c r="D815" s="8"/>
      <c r="E815" s="8"/>
      <c r="F815" s="21"/>
      <c r="G815" s="21"/>
    </row>
    <row r="816" spans="1:7" ht="19.5" customHeight="1" x14ac:dyDescent="0.3">
      <c r="A816" s="5"/>
      <c r="B816" s="37"/>
      <c r="C816" s="26"/>
      <c r="D816" s="8"/>
      <c r="E816" s="8"/>
      <c r="F816" s="21"/>
      <c r="G816" s="21"/>
    </row>
    <row r="817" spans="1:7" ht="19.5" customHeight="1" x14ac:dyDescent="0.3">
      <c r="A817" s="5"/>
      <c r="B817" s="37"/>
      <c r="C817" s="26"/>
      <c r="D817" s="8"/>
      <c r="E817" s="8"/>
      <c r="F817" s="21"/>
      <c r="G817" s="21"/>
    </row>
    <row r="818" spans="1:7" ht="19.5" customHeight="1" x14ac:dyDescent="0.3">
      <c r="A818" s="5"/>
      <c r="B818" s="40" t="s">
        <v>14</v>
      </c>
      <c r="C818" s="26"/>
      <c r="D818" s="8"/>
      <c r="E818" s="8"/>
    </row>
    <row r="819" spans="1:7" ht="19.5" customHeight="1" x14ac:dyDescent="0.3">
      <c r="A819" s="5"/>
      <c r="B819" s="40" t="s">
        <v>15</v>
      </c>
      <c r="C819" s="26">
        <f>5000000+100000-3650000+2700000+655000+265000</f>
        <v>5070000</v>
      </c>
      <c r="D819" s="8" t="s">
        <v>155</v>
      </c>
      <c r="E819" s="8"/>
      <c r="F819" s="21"/>
    </row>
    <row r="820" spans="1:7" ht="19.5" customHeight="1" x14ac:dyDescent="0.3">
      <c r="A820" s="5"/>
      <c r="B820" s="40" t="s">
        <v>16</v>
      </c>
      <c r="C820" s="26">
        <f>36100+151000+87500+270500</f>
        <v>545100</v>
      </c>
      <c r="D820" s="8"/>
      <c r="E820" s="8"/>
    </row>
    <row r="821" spans="1:7" ht="19.5" customHeight="1" x14ac:dyDescent="0.3">
      <c r="A821" s="5"/>
      <c r="B821" s="40" t="s">
        <v>23</v>
      </c>
      <c r="C821" s="26">
        <f>392000+5000000</f>
        <v>5392000</v>
      </c>
      <c r="D821" s="8"/>
      <c r="E821" s="8"/>
    </row>
    <row r="822" spans="1:7" ht="19.5" customHeight="1" x14ac:dyDescent="0.3">
      <c r="A822" s="5"/>
      <c r="B822" s="40" t="s">
        <v>23</v>
      </c>
      <c r="C822" s="26">
        <v>1100000</v>
      </c>
      <c r="D822" s="8" t="s">
        <v>91</v>
      </c>
      <c r="E822" s="8"/>
    </row>
    <row r="823" spans="1:7" ht="19.5" customHeight="1" x14ac:dyDescent="0.3">
      <c r="A823" s="5"/>
      <c r="B823" s="40"/>
      <c r="C823" s="26"/>
      <c r="D823" s="8"/>
      <c r="E823" s="8"/>
    </row>
    <row r="824" spans="1:7" ht="19.5" customHeight="1" x14ac:dyDescent="0.3">
      <c r="A824" s="5"/>
      <c r="B824" s="40" t="s">
        <v>21</v>
      </c>
      <c r="C824" s="26">
        <f>70000+20000+31000</f>
        <v>121000</v>
      </c>
      <c r="D824" s="8"/>
      <c r="E824" s="8"/>
      <c r="F824" s="12" t="s">
        <v>17</v>
      </c>
      <c r="G824" s="13">
        <f>SUM(C807+C808+C809+C810+C811+C812)</f>
        <v>1051100</v>
      </c>
    </row>
    <row r="825" spans="1:7" ht="19.5" customHeight="1" x14ac:dyDescent="0.3">
      <c r="A825" s="5"/>
      <c r="B825" s="16" t="s">
        <v>18</v>
      </c>
      <c r="C825" s="37"/>
      <c r="D825" s="8"/>
      <c r="E825" s="8"/>
      <c r="F825" s="12" t="s">
        <v>19</v>
      </c>
      <c r="G825" s="13">
        <f>SUM(C815:C824)</f>
        <v>12228100</v>
      </c>
    </row>
    <row r="826" spans="1:7" ht="19.5" customHeight="1" x14ac:dyDescent="0.25">
      <c r="A826" s="5"/>
      <c r="B826" s="121" t="s">
        <v>20</v>
      </c>
      <c r="C826" s="123">
        <f>SUM(C806:C825)</f>
        <v>13279200</v>
      </c>
      <c r="D826" s="121" t="s">
        <v>20</v>
      </c>
      <c r="E826" s="125">
        <f>SUM(E808:E824)</f>
        <v>0</v>
      </c>
      <c r="F826" s="14" t="s">
        <v>86</v>
      </c>
      <c r="G826" s="38">
        <f>SUM(G824:G825)</f>
        <v>13279200</v>
      </c>
    </row>
    <row r="827" spans="1:7" ht="19.5" customHeight="1" x14ac:dyDescent="0.25">
      <c r="A827" s="5"/>
      <c r="B827" s="122"/>
      <c r="C827" s="124"/>
      <c r="D827" s="122"/>
      <c r="E827" s="126"/>
      <c r="G827" s="21"/>
    </row>
    <row r="828" spans="1:7" ht="19.5" customHeight="1" x14ac:dyDescent="0.3">
      <c r="A828" s="18" t="s">
        <v>166</v>
      </c>
      <c r="B828" s="5"/>
      <c r="C828" s="6" t="s">
        <v>12</v>
      </c>
      <c r="D828" s="6"/>
      <c r="E828" s="6" t="s">
        <v>13</v>
      </c>
    </row>
    <row r="829" spans="1:7" ht="19.5" customHeight="1" x14ac:dyDescent="0.3">
      <c r="A829" s="7"/>
      <c r="B829" s="37" t="s">
        <v>167</v>
      </c>
      <c r="C829" s="26">
        <f>10000*16</f>
        <v>160000</v>
      </c>
      <c r="D829" s="8"/>
      <c r="E829" s="8"/>
    </row>
    <row r="830" spans="1:7" ht="19.5" customHeight="1" x14ac:dyDescent="0.3">
      <c r="A830" s="5"/>
      <c r="B830" s="37" t="s">
        <v>168</v>
      </c>
      <c r="C830" s="26">
        <f>5000*115</f>
        <v>575000</v>
      </c>
      <c r="D830" s="51"/>
      <c r="E830" s="8"/>
      <c r="F830" s="52"/>
    </row>
    <row r="831" spans="1:7" ht="19.5" customHeight="1" x14ac:dyDescent="0.3">
      <c r="A831" s="5"/>
      <c r="B831" s="37" t="s">
        <v>118</v>
      </c>
      <c r="C831" s="26">
        <f>1000*3</f>
        <v>3000</v>
      </c>
      <c r="D831" s="51"/>
      <c r="E831" s="8"/>
      <c r="F831" s="59"/>
    </row>
    <row r="832" spans="1:7" ht="19.5" customHeight="1" x14ac:dyDescent="0.3">
      <c r="A832" s="5"/>
      <c r="B832" s="37"/>
      <c r="C832" s="26"/>
      <c r="D832" s="51"/>
      <c r="E832" s="8"/>
      <c r="F832" s="59"/>
    </row>
    <row r="833" spans="1:7" ht="19.5" customHeight="1" x14ac:dyDescent="0.3">
      <c r="A833" s="5"/>
      <c r="B833" s="50"/>
      <c r="C833" s="26"/>
      <c r="D833" s="8"/>
      <c r="E833" s="8"/>
    </row>
    <row r="834" spans="1:7" ht="19.5" hidden="1" customHeight="1" x14ac:dyDescent="0.3">
      <c r="A834" s="5"/>
      <c r="B834" s="37"/>
      <c r="C834" s="26"/>
      <c r="D834" s="8"/>
      <c r="E834" s="8"/>
      <c r="G834" s="22"/>
    </row>
    <row r="835" spans="1:7" ht="19.5" hidden="1" customHeight="1" x14ac:dyDescent="0.3">
      <c r="A835" s="5"/>
      <c r="B835" s="37"/>
      <c r="C835" s="26"/>
      <c r="D835" s="8"/>
      <c r="E835" s="8"/>
      <c r="F835" s="21"/>
      <c r="G835" s="21"/>
    </row>
    <row r="836" spans="1:7" ht="19.5" hidden="1" customHeight="1" x14ac:dyDescent="0.3">
      <c r="A836" s="5"/>
      <c r="B836" s="37"/>
      <c r="C836" s="26"/>
      <c r="D836" s="8"/>
      <c r="E836" s="8"/>
      <c r="F836" s="21"/>
      <c r="G836" s="21"/>
    </row>
    <row r="837" spans="1:7" ht="19.5" customHeight="1" x14ac:dyDescent="0.3">
      <c r="A837" s="5"/>
      <c r="B837" s="37"/>
      <c r="C837" s="26"/>
      <c r="D837" s="8"/>
      <c r="E837" s="8"/>
      <c r="F837" s="21"/>
      <c r="G837" s="21"/>
    </row>
    <row r="838" spans="1:7" ht="19.5" hidden="1" customHeight="1" x14ac:dyDescent="0.3">
      <c r="A838" s="5"/>
      <c r="B838" s="50"/>
      <c r="C838" s="26"/>
      <c r="D838" s="8"/>
      <c r="E838" s="8"/>
      <c r="F838" s="21"/>
      <c r="G838" s="21"/>
    </row>
    <row r="839" spans="1:7" ht="19.5" hidden="1" customHeight="1" x14ac:dyDescent="0.3">
      <c r="A839" s="5"/>
      <c r="B839" s="37"/>
      <c r="C839" s="26"/>
      <c r="D839" s="8"/>
      <c r="E839" s="8"/>
      <c r="F839" s="21"/>
      <c r="G839" s="21"/>
    </row>
    <row r="840" spans="1:7" ht="19.5" customHeight="1" x14ac:dyDescent="0.3">
      <c r="A840" s="5"/>
      <c r="B840" s="50"/>
      <c r="C840" s="26"/>
      <c r="D840" s="8"/>
      <c r="E840" s="8"/>
      <c r="F840" s="21"/>
      <c r="G840" s="21"/>
    </row>
    <row r="841" spans="1:7" ht="19.5" customHeight="1" x14ac:dyDescent="0.3">
      <c r="A841" s="5"/>
      <c r="B841" s="40" t="s">
        <v>14</v>
      </c>
      <c r="C841" s="26">
        <v>206250</v>
      </c>
      <c r="D841" s="8"/>
      <c r="E841" s="8"/>
    </row>
    <row r="842" spans="1:7" ht="19.5" customHeight="1" x14ac:dyDescent="0.3">
      <c r="A842" s="5"/>
      <c r="B842" s="40" t="s">
        <v>23</v>
      </c>
      <c r="C842" s="26">
        <v>600000</v>
      </c>
      <c r="D842" s="8" t="s">
        <v>169</v>
      </c>
      <c r="E842" s="8"/>
      <c r="F842" s="21"/>
    </row>
    <row r="843" spans="1:7" ht="19.5" customHeight="1" x14ac:dyDescent="0.3">
      <c r="A843" s="5"/>
      <c r="B843" s="40" t="s">
        <v>16</v>
      </c>
      <c r="C843" s="26"/>
      <c r="D843" s="8"/>
      <c r="E843" s="8"/>
    </row>
    <row r="844" spans="1:7" ht="19.5" customHeight="1" x14ac:dyDescent="0.3">
      <c r="A844" s="5"/>
      <c r="B844" s="40" t="s">
        <v>23</v>
      </c>
      <c r="C844" s="26"/>
      <c r="D844" s="8"/>
      <c r="E844" s="8"/>
    </row>
    <row r="845" spans="1:7" ht="19.5" customHeight="1" x14ac:dyDescent="0.3">
      <c r="A845" s="5"/>
      <c r="B845" s="40" t="s">
        <v>23</v>
      </c>
      <c r="C845" s="26"/>
      <c r="D845" s="8"/>
      <c r="E845" s="8"/>
    </row>
    <row r="846" spans="1:7" ht="19.5" customHeight="1" x14ac:dyDescent="0.3">
      <c r="A846" s="5"/>
      <c r="B846" s="40" t="s">
        <v>159</v>
      </c>
      <c r="C846" s="26"/>
      <c r="D846" s="8"/>
      <c r="E846" s="8"/>
    </row>
    <row r="847" spans="1:7" ht="19.5" customHeight="1" x14ac:dyDescent="0.3">
      <c r="A847" s="5"/>
      <c r="B847" s="40" t="s">
        <v>21</v>
      </c>
      <c r="C847" s="26"/>
      <c r="D847" s="130"/>
      <c r="E847" s="8"/>
      <c r="F847" s="12" t="s">
        <v>17</v>
      </c>
      <c r="G847" s="13">
        <f>C829+C830+C831+C833+C832+C837</f>
        <v>738000</v>
      </c>
    </row>
    <row r="848" spans="1:7" ht="19.5" customHeight="1" x14ac:dyDescent="0.3">
      <c r="A848" s="5"/>
      <c r="B848" s="16" t="s">
        <v>18</v>
      </c>
      <c r="C848" s="37"/>
      <c r="D848" s="131"/>
      <c r="E848" s="8"/>
      <c r="F848" s="12" t="s">
        <v>19</v>
      </c>
      <c r="G848" s="13">
        <f>C841+C842+C843+C844+C845+C846+C847</f>
        <v>806250</v>
      </c>
    </row>
    <row r="849" spans="1:7" ht="19.5" customHeight="1" x14ac:dyDescent="0.25">
      <c r="A849" s="5"/>
      <c r="B849" s="121" t="s">
        <v>20</v>
      </c>
      <c r="C849" s="123">
        <f>SUM(C829:C848)</f>
        <v>1544250</v>
      </c>
      <c r="D849" s="121" t="s">
        <v>20</v>
      </c>
      <c r="E849" s="125">
        <f>SUM(E830:E847)</f>
        <v>0</v>
      </c>
      <c r="F849" s="14" t="s">
        <v>86</v>
      </c>
      <c r="G849" s="38">
        <f>SUM(G847:G848)</f>
        <v>1544250</v>
      </c>
    </row>
    <row r="850" spans="1:7" ht="19.5" customHeight="1" x14ac:dyDescent="0.25">
      <c r="A850" s="5"/>
      <c r="B850" s="122"/>
      <c r="C850" s="124"/>
      <c r="D850" s="122"/>
      <c r="E850" s="126"/>
      <c r="G850" s="21"/>
    </row>
    <row r="851" spans="1:7" ht="19.5" customHeight="1" x14ac:dyDescent="0.3">
      <c r="A851" s="18" t="s">
        <v>175</v>
      </c>
      <c r="B851" s="5"/>
      <c r="C851" s="6" t="s">
        <v>12</v>
      </c>
      <c r="D851" s="6"/>
      <c r="E851" s="6" t="s">
        <v>13</v>
      </c>
    </row>
    <row r="852" spans="1:7" ht="19.5" customHeight="1" x14ac:dyDescent="0.3">
      <c r="A852" s="7"/>
      <c r="B852" s="37" t="s">
        <v>171</v>
      </c>
      <c r="C852" s="26">
        <f>10000*41</f>
        <v>410000</v>
      </c>
      <c r="D852" s="8"/>
      <c r="E852" s="8"/>
    </row>
    <row r="853" spans="1:7" ht="19.5" customHeight="1" x14ac:dyDescent="0.3">
      <c r="A853" s="5"/>
      <c r="B853" s="37" t="s">
        <v>172</v>
      </c>
      <c r="C853" s="26">
        <f>5000*375</f>
        <v>1875000</v>
      </c>
      <c r="D853" s="51"/>
      <c r="E853" s="8"/>
      <c r="F853" s="52"/>
    </row>
    <row r="854" spans="1:7" ht="19.5" customHeight="1" x14ac:dyDescent="0.3">
      <c r="A854" s="5"/>
      <c r="B854" s="37" t="s">
        <v>174</v>
      </c>
      <c r="C854" s="26">
        <f>1000*2</f>
        <v>2000</v>
      </c>
      <c r="D854" s="51"/>
      <c r="E854" s="8"/>
      <c r="F854" s="59"/>
    </row>
    <row r="855" spans="1:7" ht="19.5" customHeight="1" x14ac:dyDescent="0.3">
      <c r="A855" s="5"/>
      <c r="B855" s="37" t="s">
        <v>173</v>
      </c>
      <c r="C855" s="26">
        <f>500*10</f>
        <v>5000</v>
      </c>
      <c r="D855" s="51"/>
      <c r="E855" s="8"/>
      <c r="F855" s="59"/>
    </row>
    <row r="856" spans="1:7" ht="19.5" customHeight="1" x14ac:dyDescent="0.3">
      <c r="A856" s="5"/>
      <c r="B856" s="37" t="s">
        <v>24</v>
      </c>
      <c r="C856" s="26">
        <f>200*1</f>
        <v>200</v>
      </c>
      <c r="D856" s="51"/>
      <c r="E856" s="8"/>
      <c r="F856" s="59"/>
    </row>
    <row r="857" spans="1:7" ht="19.5" customHeight="1" x14ac:dyDescent="0.3">
      <c r="A857" s="5"/>
      <c r="B857" s="37" t="s">
        <v>119</v>
      </c>
      <c r="C857" s="26">
        <f>100*1</f>
        <v>100</v>
      </c>
      <c r="D857" s="51"/>
      <c r="E857" s="8"/>
      <c r="F857" s="59"/>
    </row>
    <row r="858" spans="1:7" ht="19.5" customHeight="1" x14ac:dyDescent="0.3">
      <c r="A858" s="5"/>
      <c r="B858" s="37" t="s">
        <v>91</v>
      </c>
      <c r="C858" s="26">
        <v>53000</v>
      </c>
      <c r="D858" s="51"/>
      <c r="E858" s="8"/>
      <c r="F858" s="59"/>
    </row>
    <row r="859" spans="1:7" ht="19.5" hidden="1" customHeight="1" x14ac:dyDescent="0.3">
      <c r="A859" s="5"/>
      <c r="B859" s="50"/>
      <c r="C859" s="26"/>
      <c r="D859" s="8"/>
      <c r="E859" s="8"/>
    </row>
    <row r="860" spans="1:7" ht="19.5" hidden="1" customHeight="1" x14ac:dyDescent="0.3">
      <c r="A860" s="5"/>
      <c r="B860" s="37"/>
      <c r="C860" s="26"/>
      <c r="D860" s="8"/>
      <c r="E860" s="8"/>
      <c r="G860" s="22"/>
    </row>
    <row r="861" spans="1:7" ht="19.5" hidden="1" customHeight="1" x14ac:dyDescent="0.3">
      <c r="A861" s="5"/>
      <c r="B861" s="37"/>
      <c r="C861" s="26"/>
      <c r="D861" s="8"/>
      <c r="E861" s="8"/>
      <c r="F861" s="21"/>
      <c r="G861" s="21"/>
    </row>
    <row r="862" spans="1:7" ht="19.5" hidden="1" customHeight="1" x14ac:dyDescent="0.3">
      <c r="A862" s="5"/>
      <c r="B862" s="37"/>
      <c r="C862" s="26"/>
      <c r="D862" s="8"/>
      <c r="E862" s="8"/>
      <c r="F862" s="21"/>
      <c r="G862" s="21"/>
    </row>
    <row r="863" spans="1:7" ht="19.5" hidden="1" customHeight="1" x14ac:dyDescent="0.3">
      <c r="A863" s="5"/>
      <c r="B863" s="37"/>
      <c r="C863" s="26"/>
      <c r="D863" s="8"/>
      <c r="E863" s="8"/>
      <c r="F863" s="21"/>
      <c r="G863" s="21"/>
    </row>
    <row r="864" spans="1:7" ht="19.5" hidden="1" customHeight="1" x14ac:dyDescent="0.3">
      <c r="A864" s="5"/>
      <c r="B864" s="50"/>
      <c r="C864" s="26"/>
      <c r="D864" s="8"/>
      <c r="E864" s="8"/>
      <c r="F864" s="21"/>
      <c r="G864" s="21"/>
    </row>
    <row r="865" spans="1:7" ht="19.5" hidden="1" customHeight="1" x14ac:dyDescent="0.3">
      <c r="A865" s="5"/>
      <c r="B865" s="37"/>
      <c r="C865" s="26"/>
      <c r="D865" s="8"/>
      <c r="E865" s="8"/>
      <c r="F865" s="21"/>
      <c r="G865" s="21"/>
    </row>
    <row r="866" spans="1:7" ht="19.5" customHeight="1" x14ac:dyDescent="0.3">
      <c r="A866" s="5"/>
      <c r="B866" s="50"/>
      <c r="C866" s="26"/>
      <c r="D866" s="8"/>
      <c r="E866" s="8"/>
      <c r="F866" s="21"/>
      <c r="G866" s="21"/>
    </row>
    <row r="867" spans="1:7" ht="19.5" customHeight="1" x14ac:dyDescent="0.3">
      <c r="A867" s="5"/>
      <c r="B867" s="50"/>
      <c r="C867" s="26"/>
      <c r="D867" s="8"/>
      <c r="E867" s="8"/>
      <c r="F867" s="21"/>
      <c r="G867" s="21"/>
    </row>
    <row r="868" spans="1:7" ht="19.5" customHeight="1" x14ac:dyDescent="0.3">
      <c r="A868" s="5"/>
      <c r="B868" s="50"/>
      <c r="C868" s="26"/>
      <c r="D868" s="8"/>
      <c r="E868" s="8"/>
      <c r="F868" s="21"/>
      <c r="G868" s="21"/>
    </row>
    <row r="869" spans="1:7" ht="19.5" customHeight="1" x14ac:dyDescent="0.3">
      <c r="A869" s="5"/>
      <c r="B869" s="40" t="s">
        <v>14</v>
      </c>
      <c r="C869" s="26"/>
      <c r="D869" s="8"/>
      <c r="E869" s="8"/>
    </row>
    <row r="870" spans="1:7" ht="19.5" customHeight="1" x14ac:dyDescent="0.3">
      <c r="A870" s="5"/>
      <c r="B870" s="40" t="s">
        <v>23</v>
      </c>
      <c r="C870" s="26"/>
      <c r="D870" s="8"/>
      <c r="E870" s="8"/>
      <c r="F870" s="21"/>
    </row>
    <row r="871" spans="1:7" ht="19.5" customHeight="1" x14ac:dyDescent="0.3">
      <c r="A871" s="5"/>
      <c r="B871" s="40" t="s">
        <v>16</v>
      </c>
      <c r="C871" s="26">
        <v>177500</v>
      </c>
      <c r="D871" s="8" t="s">
        <v>91</v>
      </c>
      <c r="E871" s="8"/>
    </row>
    <row r="872" spans="1:7" ht="19.5" customHeight="1" x14ac:dyDescent="0.3">
      <c r="A872" s="5"/>
      <c r="B872" s="40" t="s">
        <v>23</v>
      </c>
      <c r="C872" s="26"/>
      <c r="D872" s="8"/>
      <c r="E872" s="8"/>
    </row>
    <row r="873" spans="1:7" ht="19.5" customHeight="1" x14ac:dyDescent="0.3">
      <c r="A873" s="5"/>
      <c r="B873" s="40" t="s">
        <v>170</v>
      </c>
      <c r="C873" s="26"/>
      <c r="D873" s="8"/>
      <c r="E873" s="8"/>
    </row>
    <row r="874" spans="1:7" ht="19.5" customHeight="1" x14ac:dyDescent="0.3">
      <c r="A874" s="5"/>
      <c r="B874" s="40" t="s">
        <v>159</v>
      </c>
      <c r="C874" s="26">
        <f>52000+5000+22000+95100</f>
        <v>174100</v>
      </c>
      <c r="D874" s="8"/>
      <c r="E874" s="8"/>
    </row>
    <row r="875" spans="1:7" ht="19.5" customHeight="1" x14ac:dyDescent="0.3">
      <c r="A875" s="5"/>
      <c r="B875" s="40" t="s">
        <v>21</v>
      </c>
      <c r="C875" s="26">
        <v>13000</v>
      </c>
      <c r="D875" s="70"/>
      <c r="E875" s="8"/>
      <c r="F875" s="12" t="s">
        <v>17</v>
      </c>
      <c r="G875" s="13">
        <f>C852+C853+C854+C859+C858+C863+C866+C867+C868+C856+C855+C857</f>
        <v>2345300</v>
      </c>
    </row>
    <row r="876" spans="1:7" ht="19.5" customHeight="1" x14ac:dyDescent="0.3">
      <c r="A876" s="5"/>
      <c r="B876" s="16" t="s">
        <v>18</v>
      </c>
      <c r="C876" s="37"/>
      <c r="D876" s="70"/>
      <c r="E876" s="8"/>
      <c r="F876" s="12" t="s">
        <v>19</v>
      </c>
      <c r="G876" s="13">
        <f>C869+C870+C871+C872+C873+C874+C875</f>
        <v>364600</v>
      </c>
    </row>
    <row r="877" spans="1:7" ht="19.5" customHeight="1" x14ac:dyDescent="0.25">
      <c r="A877" s="5"/>
      <c r="B877" s="121" t="s">
        <v>20</v>
      </c>
      <c r="C877" s="123">
        <f>SUM(C852:C876)</f>
        <v>2709900</v>
      </c>
      <c r="D877" s="121" t="s">
        <v>20</v>
      </c>
      <c r="E877" s="125">
        <f>SUM(E853:E875)</f>
        <v>0</v>
      </c>
      <c r="F877" s="14" t="s">
        <v>86</v>
      </c>
      <c r="G877" s="38">
        <f>SUM(G875:G876)</f>
        <v>2709900</v>
      </c>
    </row>
    <row r="878" spans="1:7" ht="19.5" customHeight="1" x14ac:dyDescent="0.25">
      <c r="A878" s="5"/>
      <c r="B878" s="122"/>
      <c r="C878" s="124"/>
      <c r="D878" s="122"/>
      <c r="E878" s="126"/>
      <c r="G878" s="21"/>
    </row>
    <row r="880" spans="1:7" ht="19.5" customHeight="1" x14ac:dyDescent="0.3">
      <c r="A880" s="18" t="s">
        <v>179</v>
      </c>
      <c r="B880" s="5"/>
      <c r="C880" s="6" t="s">
        <v>12</v>
      </c>
      <c r="D880" s="6"/>
      <c r="E880" s="6" t="s">
        <v>13</v>
      </c>
    </row>
    <row r="881" spans="1:7" ht="19.5" customHeight="1" x14ac:dyDescent="0.3">
      <c r="A881" s="7"/>
      <c r="B881" s="37"/>
      <c r="C881" s="26"/>
      <c r="D881" s="8"/>
      <c r="E881" s="8"/>
    </row>
    <row r="882" spans="1:7" ht="19.5" customHeight="1" x14ac:dyDescent="0.3">
      <c r="A882" s="5"/>
      <c r="B882" s="37" t="s">
        <v>176</v>
      </c>
      <c r="C882" s="26">
        <v>53000</v>
      </c>
      <c r="D882" s="51"/>
      <c r="E882" s="8"/>
      <c r="F882" s="52"/>
    </row>
    <row r="883" spans="1:7" ht="19.5" customHeight="1" x14ac:dyDescent="0.3">
      <c r="A883" s="5"/>
      <c r="B883" s="37" t="s">
        <v>180</v>
      </c>
      <c r="C883" s="26">
        <f>10000*4</f>
        <v>40000</v>
      </c>
      <c r="D883" s="51"/>
      <c r="E883" s="8"/>
      <c r="F883" s="59"/>
    </row>
    <row r="884" spans="1:7" ht="19.5" customHeight="1" x14ac:dyDescent="0.3">
      <c r="A884" s="5"/>
      <c r="B884" s="37" t="s">
        <v>181</v>
      </c>
      <c r="C884" s="26">
        <f>5000*2</f>
        <v>10000</v>
      </c>
      <c r="D884" s="51"/>
      <c r="E884" s="8"/>
      <c r="F884" s="59"/>
    </row>
    <row r="885" spans="1:7" ht="19.5" customHeight="1" x14ac:dyDescent="0.3">
      <c r="A885" s="5"/>
      <c r="B885" s="37" t="s">
        <v>182</v>
      </c>
      <c r="C885" s="26">
        <f>1000*1</f>
        <v>1000</v>
      </c>
      <c r="D885" s="51"/>
      <c r="E885" s="8"/>
      <c r="F885" s="59"/>
    </row>
    <row r="886" spans="1:7" ht="19.5" customHeight="1" x14ac:dyDescent="0.3">
      <c r="A886" s="5"/>
      <c r="B886" s="37" t="s">
        <v>56</v>
      </c>
      <c r="C886" s="26">
        <f>500*1</f>
        <v>500</v>
      </c>
      <c r="D886" s="51"/>
      <c r="E886" s="8"/>
      <c r="F886" s="59"/>
    </row>
    <row r="887" spans="1:7" ht="19.5" customHeight="1" x14ac:dyDescent="0.3">
      <c r="A887" s="5"/>
      <c r="B887" s="37" t="s">
        <v>31</v>
      </c>
      <c r="C887" s="26">
        <f>100*3</f>
        <v>300</v>
      </c>
      <c r="D887" s="51"/>
      <c r="E887" s="8"/>
      <c r="F887" s="59"/>
    </row>
    <row r="888" spans="1:7" ht="19.5" hidden="1" customHeight="1" x14ac:dyDescent="0.3">
      <c r="A888" s="5"/>
      <c r="B888" s="50"/>
      <c r="C888" s="26"/>
      <c r="D888" s="8"/>
      <c r="E888" s="8"/>
    </row>
    <row r="889" spans="1:7" ht="19.5" hidden="1" customHeight="1" x14ac:dyDescent="0.3">
      <c r="A889" s="5"/>
      <c r="B889" s="37"/>
      <c r="C889" s="26"/>
      <c r="D889" s="8"/>
      <c r="E889" s="8"/>
      <c r="G889" s="22"/>
    </row>
    <row r="890" spans="1:7" ht="19.5" hidden="1" customHeight="1" x14ac:dyDescent="0.3">
      <c r="A890" s="5"/>
      <c r="B890" s="37"/>
      <c r="C890" s="26"/>
      <c r="D890" s="8"/>
      <c r="E890" s="8"/>
      <c r="F890" s="21"/>
      <c r="G890" s="21"/>
    </row>
    <row r="891" spans="1:7" ht="19.5" hidden="1" customHeight="1" x14ac:dyDescent="0.3">
      <c r="A891" s="5"/>
      <c r="B891" s="37"/>
      <c r="C891" s="26"/>
      <c r="D891" s="8"/>
      <c r="E891" s="8"/>
      <c r="F891" s="21"/>
      <c r="G891" s="21"/>
    </row>
    <row r="892" spans="1:7" ht="19.5" hidden="1" customHeight="1" x14ac:dyDescent="0.3">
      <c r="A892" s="5"/>
      <c r="B892" s="37"/>
      <c r="C892" s="26"/>
      <c r="D892" s="8"/>
      <c r="E892" s="8"/>
      <c r="F892" s="21"/>
      <c r="G892" s="21"/>
    </row>
    <row r="893" spans="1:7" ht="19.5" hidden="1" customHeight="1" x14ac:dyDescent="0.3">
      <c r="A893" s="5"/>
      <c r="B893" s="50"/>
      <c r="C893" s="26"/>
      <c r="D893" s="8"/>
      <c r="E893" s="8"/>
      <c r="F893" s="21"/>
      <c r="G893" s="21"/>
    </row>
    <row r="894" spans="1:7" ht="19.5" hidden="1" customHeight="1" x14ac:dyDescent="0.3">
      <c r="A894" s="5"/>
      <c r="B894" s="37"/>
      <c r="C894" s="26"/>
      <c r="D894" s="8"/>
      <c r="E894" s="8"/>
      <c r="F894" s="21"/>
      <c r="G894" s="21"/>
    </row>
    <row r="895" spans="1:7" ht="19.5" hidden="1" customHeight="1" x14ac:dyDescent="0.3">
      <c r="A895" s="5"/>
      <c r="B895" s="50"/>
      <c r="C895" s="26"/>
      <c r="D895" s="8"/>
      <c r="E895" s="8"/>
      <c r="F895" s="21"/>
      <c r="G895" s="21"/>
    </row>
    <row r="896" spans="1:7" ht="19.5" customHeight="1" x14ac:dyDescent="0.3">
      <c r="A896" s="5"/>
      <c r="B896" s="50"/>
      <c r="C896" s="26"/>
      <c r="D896" s="8"/>
      <c r="E896" s="8"/>
      <c r="F896" s="21"/>
      <c r="G896" s="21"/>
    </row>
    <row r="897" spans="1:7" ht="19.5" customHeight="1" x14ac:dyDescent="0.3">
      <c r="A897" s="5"/>
      <c r="B897" s="50" t="s">
        <v>178</v>
      </c>
      <c r="C897" s="26">
        <v>1280000</v>
      </c>
      <c r="D897" s="8"/>
      <c r="E897" s="8"/>
      <c r="F897" s="21"/>
      <c r="G897" s="21"/>
    </row>
    <row r="898" spans="1:7" ht="19.5" customHeight="1" x14ac:dyDescent="0.3">
      <c r="A898" s="5"/>
      <c r="B898" s="40" t="s">
        <v>14</v>
      </c>
      <c r="C898" s="26">
        <v>150000</v>
      </c>
      <c r="D898" s="8"/>
      <c r="E898" s="8"/>
    </row>
    <row r="899" spans="1:7" ht="19.5" customHeight="1" x14ac:dyDescent="0.3">
      <c r="A899" s="5"/>
      <c r="B899" s="40" t="s">
        <v>23</v>
      </c>
      <c r="C899" s="26"/>
      <c r="D899" s="8"/>
      <c r="E899" s="8"/>
      <c r="F899" s="21"/>
    </row>
    <row r="900" spans="1:7" ht="19.5" customHeight="1" x14ac:dyDescent="0.3">
      <c r="A900" s="5"/>
      <c r="B900" s="40" t="s">
        <v>16</v>
      </c>
      <c r="C900" s="26">
        <v>177500</v>
      </c>
      <c r="D900" s="8" t="s">
        <v>91</v>
      </c>
      <c r="E900" s="8"/>
    </row>
    <row r="901" spans="1:7" ht="19.5" customHeight="1" x14ac:dyDescent="0.3">
      <c r="A901" s="5"/>
      <c r="B901" s="40" t="s">
        <v>23</v>
      </c>
      <c r="C901" s="26"/>
      <c r="D901" s="8"/>
      <c r="E901" s="8"/>
    </row>
    <row r="902" spans="1:7" ht="19.5" customHeight="1" x14ac:dyDescent="0.3">
      <c r="A902" s="5"/>
      <c r="B902" s="40" t="s">
        <v>177</v>
      </c>
      <c r="C902" s="26">
        <v>34500</v>
      </c>
      <c r="D902" s="8"/>
      <c r="E902" s="8"/>
    </row>
    <row r="903" spans="1:7" ht="19.5" customHeight="1" x14ac:dyDescent="0.3">
      <c r="A903" s="5"/>
      <c r="B903" s="40" t="s">
        <v>159</v>
      </c>
      <c r="C903" s="26">
        <v>174100</v>
      </c>
      <c r="D903" s="8"/>
      <c r="E903" s="8"/>
    </row>
    <row r="904" spans="1:7" ht="19.5" customHeight="1" x14ac:dyDescent="0.3">
      <c r="A904" s="5"/>
      <c r="B904" s="40" t="s">
        <v>21</v>
      </c>
      <c r="C904" s="26">
        <f>13000+17000</f>
        <v>30000</v>
      </c>
      <c r="D904" s="70"/>
      <c r="E904" s="8"/>
      <c r="F904" s="12" t="s">
        <v>17</v>
      </c>
      <c r="G904" s="13">
        <f>C881+C882+C883+C888+C887+C892+C895+C896+C897+C885+C884+C886</f>
        <v>1384800</v>
      </c>
    </row>
    <row r="905" spans="1:7" ht="19.5" customHeight="1" x14ac:dyDescent="0.3">
      <c r="A905" s="5"/>
      <c r="B905" s="16" t="s">
        <v>18</v>
      </c>
      <c r="C905" s="37"/>
      <c r="D905" s="70"/>
      <c r="E905" s="8"/>
      <c r="F905" s="12" t="s">
        <v>19</v>
      </c>
      <c r="G905" s="13">
        <f>C898+C899+C900+C901+C902+C903+C904</f>
        <v>566100</v>
      </c>
    </row>
    <row r="906" spans="1:7" ht="19.5" customHeight="1" x14ac:dyDescent="0.25">
      <c r="A906" s="5"/>
      <c r="B906" s="121" t="s">
        <v>20</v>
      </c>
      <c r="C906" s="123">
        <f>SUM(C881:C905)</f>
        <v>1950900</v>
      </c>
      <c r="D906" s="121" t="s">
        <v>20</v>
      </c>
      <c r="E906" s="125">
        <f>SUM(E882:E904)</f>
        <v>0</v>
      </c>
      <c r="F906" s="14" t="s">
        <v>86</v>
      </c>
      <c r="G906" s="38">
        <f>SUM(G904:G905)</f>
        <v>1950900</v>
      </c>
    </row>
    <row r="907" spans="1:7" ht="19.5" customHeight="1" x14ac:dyDescent="0.25">
      <c r="A907" s="5"/>
      <c r="B907" s="122"/>
      <c r="C907" s="124"/>
      <c r="D907" s="122"/>
      <c r="E907" s="126"/>
      <c r="G907" s="21"/>
    </row>
    <row r="908" spans="1:7" ht="19.5" customHeight="1" x14ac:dyDescent="0.3">
      <c r="A908" s="18" t="s">
        <v>183</v>
      </c>
      <c r="B908" s="5"/>
      <c r="C908" s="6" t="s">
        <v>12</v>
      </c>
      <c r="D908" s="6"/>
      <c r="E908" s="6" t="s">
        <v>13</v>
      </c>
    </row>
    <row r="909" spans="1:7" ht="19.5" customHeight="1" x14ac:dyDescent="0.3">
      <c r="A909" s="7"/>
      <c r="B909" s="37"/>
      <c r="C909" s="26"/>
      <c r="D909" s="8"/>
      <c r="E909" s="8"/>
    </row>
    <row r="910" spans="1:7" ht="19.5" customHeight="1" x14ac:dyDescent="0.3">
      <c r="A910" s="5"/>
      <c r="B910" s="37" t="s">
        <v>176</v>
      </c>
      <c r="C910" s="26">
        <v>53000</v>
      </c>
      <c r="D910" s="51"/>
      <c r="E910" s="8"/>
      <c r="F910" s="52"/>
    </row>
    <row r="911" spans="1:7" ht="19.5" customHeight="1" x14ac:dyDescent="0.3">
      <c r="A911" s="5"/>
      <c r="B911" s="37" t="s">
        <v>180</v>
      </c>
      <c r="C911" s="26">
        <f>10000*4</f>
        <v>40000</v>
      </c>
      <c r="D911" s="51"/>
      <c r="E911" s="8"/>
      <c r="F911" s="59"/>
    </row>
    <row r="912" spans="1:7" ht="19.5" customHeight="1" x14ac:dyDescent="0.3">
      <c r="A912" s="5"/>
      <c r="B912" s="37" t="s">
        <v>181</v>
      </c>
      <c r="C912" s="26">
        <f>5000*2</f>
        <v>10000</v>
      </c>
      <c r="D912" s="51"/>
      <c r="E912" s="8"/>
      <c r="F912" s="59"/>
    </row>
    <row r="913" spans="1:7" ht="19.5" customHeight="1" x14ac:dyDescent="0.3">
      <c r="A913" s="5"/>
      <c r="B913" s="37" t="s">
        <v>182</v>
      </c>
      <c r="C913" s="26">
        <f>1000*1</f>
        <v>1000</v>
      </c>
      <c r="D913" s="51"/>
      <c r="E913" s="8"/>
      <c r="F913" s="59"/>
    </row>
    <row r="914" spans="1:7" ht="19.5" customHeight="1" x14ac:dyDescent="0.3">
      <c r="A914" s="5"/>
      <c r="B914" s="37" t="s">
        <v>56</v>
      </c>
      <c r="C914" s="26">
        <f>500*1</f>
        <v>500</v>
      </c>
      <c r="D914" s="51"/>
      <c r="E914" s="8"/>
      <c r="F914" s="59"/>
    </row>
    <row r="915" spans="1:7" ht="19.5" customHeight="1" x14ac:dyDescent="0.3">
      <c r="A915" s="5"/>
      <c r="B915" s="37" t="s">
        <v>31</v>
      </c>
      <c r="C915" s="26">
        <f>100*3</f>
        <v>300</v>
      </c>
      <c r="D915" s="51"/>
      <c r="E915" s="8"/>
      <c r="F915" s="59"/>
    </row>
    <row r="916" spans="1:7" ht="19.5" customHeight="1" x14ac:dyDescent="0.3">
      <c r="A916" s="5"/>
      <c r="B916" s="79" t="s">
        <v>102</v>
      </c>
      <c r="C916" s="80">
        <f>5000*1</f>
        <v>5000</v>
      </c>
      <c r="D916" s="8"/>
      <c r="E916" s="8"/>
    </row>
    <row r="917" spans="1:7" ht="19.5" customHeight="1" x14ac:dyDescent="0.3">
      <c r="A917" s="5"/>
      <c r="B917" s="81" t="s">
        <v>118</v>
      </c>
      <c r="C917" s="80">
        <f>1000*3</f>
        <v>3000</v>
      </c>
      <c r="D917" s="8"/>
      <c r="E917" s="8"/>
      <c r="G917" s="22"/>
    </row>
    <row r="918" spans="1:7" ht="19.5" customHeight="1" x14ac:dyDescent="0.3">
      <c r="A918" s="5"/>
      <c r="B918" s="81" t="s">
        <v>184</v>
      </c>
      <c r="C918" s="80">
        <f>100*2</f>
        <v>200</v>
      </c>
      <c r="D918" s="8"/>
      <c r="E918" s="8"/>
      <c r="F918" s="21"/>
      <c r="G918" s="21"/>
    </row>
    <row r="919" spans="1:7" ht="19.5" hidden="1" customHeight="1" x14ac:dyDescent="0.3">
      <c r="A919" s="5"/>
      <c r="B919" s="37"/>
      <c r="C919" s="26"/>
      <c r="D919" s="8"/>
      <c r="E919" s="8"/>
      <c r="F919" s="21"/>
      <c r="G919" s="21"/>
    </row>
    <row r="920" spans="1:7" ht="19.5" hidden="1" customHeight="1" x14ac:dyDescent="0.3">
      <c r="A920" s="5"/>
      <c r="B920" s="37"/>
      <c r="C920" s="26"/>
      <c r="D920" s="8"/>
      <c r="E920" s="8"/>
      <c r="F920" s="21"/>
      <c r="G920" s="21"/>
    </row>
    <row r="921" spans="1:7" ht="19.5" hidden="1" customHeight="1" x14ac:dyDescent="0.3">
      <c r="A921" s="5"/>
      <c r="B921" s="50"/>
      <c r="C921" s="26"/>
      <c r="D921" s="8"/>
      <c r="E921" s="8"/>
      <c r="F921" s="21"/>
      <c r="G921" s="21"/>
    </row>
    <row r="922" spans="1:7" ht="19.5" hidden="1" customHeight="1" x14ac:dyDescent="0.3">
      <c r="A922" s="5"/>
      <c r="B922" s="37"/>
      <c r="C922" s="26"/>
      <c r="D922" s="8"/>
      <c r="E922" s="8"/>
      <c r="F922" s="21"/>
      <c r="G922" s="21"/>
    </row>
    <row r="923" spans="1:7" ht="19.5" hidden="1" customHeight="1" x14ac:dyDescent="0.3">
      <c r="A923" s="5"/>
      <c r="B923" s="50"/>
      <c r="C923" s="26"/>
      <c r="D923" s="8"/>
      <c r="E923" s="8"/>
      <c r="F923" s="21"/>
      <c r="G923" s="21"/>
    </row>
    <row r="924" spans="1:7" ht="19.5" hidden="1" customHeight="1" x14ac:dyDescent="0.3">
      <c r="A924" s="5"/>
      <c r="B924" s="50"/>
      <c r="C924" s="26"/>
      <c r="D924" s="8"/>
      <c r="E924" s="8"/>
      <c r="F924" s="21"/>
      <c r="G924" s="21"/>
    </row>
    <row r="925" spans="1:7" ht="19.5" hidden="1" customHeight="1" x14ac:dyDescent="0.3">
      <c r="A925" s="5"/>
      <c r="B925" s="50"/>
      <c r="C925" s="26"/>
      <c r="D925" s="8"/>
      <c r="E925" s="8"/>
      <c r="F925" s="21"/>
      <c r="G925" s="21"/>
    </row>
    <row r="926" spans="1:7" ht="19.5" customHeight="1" x14ac:dyDescent="0.3">
      <c r="A926" s="5"/>
      <c r="B926" s="40" t="s">
        <v>14</v>
      </c>
      <c r="C926" s="26">
        <v>150000</v>
      </c>
      <c r="D926" s="8"/>
      <c r="E926" s="8"/>
    </row>
    <row r="927" spans="1:7" ht="19.5" customHeight="1" x14ac:dyDescent="0.3">
      <c r="A927" s="5"/>
      <c r="B927" s="40" t="s">
        <v>185</v>
      </c>
      <c r="C927" s="26">
        <v>120050</v>
      </c>
      <c r="D927" s="8"/>
      <c r="E927" s="8"/>
      <c r="F927" s="21"/>
    </row>
    <row r="928" spans="1:7" ht="19.5" customHeight="1" x14ac:dyDescent="0.3">
      <c r="A928" s="5"/>
      <c r="B928" s="40" t="s">
        <v>16</v>
      </c>
      <c r="C928" s="26">
        <v>177500</v>
      </c>
      <c r="D928" s="8" t="s">
        <v>91</v>
      </c>
      <c r="E928" s="8"/>
    </row>
    <row r="929" spans="1:7" ht="19.5" customHeight="1" x14ac:dyDescent="0.3">
      <c r="A929" s="5"/>
      <c r="B929" s="40" t="s">
        <v>23</v>
      </c>
      <c r="C929" s="26">
        <v>1600000</v>
      </c>
      <c r="D929" s="8" t="s">
        <v>91</v>
      </c>
      <c r="E929" s="8"/>
    </row>
    <row r="930" spans="1:7" ht="19.5" customHeight="1" x14ac:dyDescent="0.3">
      <c r="A930" s="5"/>
      <c r="B930" s="40" t="s">
        <v>177</v>
      </c>
      <c r="C930" s="26">
        <v>34500</v>
      </c>
      <c r="D930" s="8"/>
      <c r="E930" s="8"/>
    </row>
    <row r="931" spans="1:7" ht="19.5" customHeight="1" x14ac:dyDescent="0.3">
      <c r="A931" s="5"/>
      <c r="B931" s="40" t="s">
        <v>159</v>
      </c>
      <c r="C931" s="26">
        <v>174100</v>
      </c>
      <c r="D931" s="8"/>
      <c r="E931" s="8"/>
    </row>
    <row r="932" spans="1:7" ht="19.5" customHeight="1" x14ac:dyDescent="0.3">
      <c r="A932" s="5"/>
      <c r="B932" s="40" t="s">
        <v>21</v>
      </c>
      <c r="C932" s="26">
        <f>13000+17000</f>
        <v>30000</v>
      </c>
      <c r="D932" s="70"/>
      <c r="E932" s="8"/>
      <c r="F932" s="12" t="s">
        <v>17</v>
      </c>
      <c r="G932" s="13">
        <f>C910+C911+C912+C913+C914+C915+C916+C917+C918</f>
        <v>113000</v>
      </c>
    </row>
    <row r="933" spans="1:7" ht="19.5" customHeight="1" x14ac:dyDescent="0.3">
      <c r="A933" s="5"/>
      <c r="B933" s="16" t="s">
        <v>18</v>
      </c>
      <c r="C933" s="37"/>
      <c r="D933" s="70"/>
      <c r="E933" s="8"/>
      <c r="F933" s="12" t="s">
        <v>19</v>
      </c>
      <c r="G933" s="13">
        <f>C926+C927+C928+C929+C930+C931+C932</f>
        <v>2286150</v>
      </c>
    </row>
    <row r="934" spans="1:7" ht="19.5" customHeight="1" x14ac:dyDescent="0.25">
      <c r="A934" s="5"/>
      <c r="B934" s="121" t="s">
        <v>20</v>
      </c>
      <c r="C934" s="123">
        <f>SUM(C909:C933)</f>
        <v>2399150</v>
      </c>
      <c r="D934" s="121" t="s">
        <v>20</v>
      </c>
      <c r="E934" s="125">
        <f>SUM(E910:E932)</f>
        <v>0</v>
      </c>
      <c r="F934" s="14" t="s">
        <v>86</v>
      </c>
      <c r="G934" s="38">
        <f>SUM(G932:G933)</f>
        <v>2399150</v>
      </c>
    </row>
    <row r="935" spans="1:7" ht="19.5" customHeight="1" x14ac:dyDescent="0.25">
      <c r="A935" s="5"/>
      <c r="B935" s="122"/>
      <c r="C935" s="124"/>
      <c r="D935" s="122"/>
      <c r="E935" s="126"/>
      <c r="G935" s="21"/>
    </row>
    <row r="936" spans="1:7" ht="19.5" customHeight="1" x14ac:dyDescent="0.3">
      <c r="A936" s="18" t="s">
        <v>621</v>
      </c>
      <c r="B936" s="5"/>
      <c r="C936" s="6" t="s">
        <v>12</v>
      </c>
      <c r="D936" s="6"/>
      <c r="E936" s="6" t="s">
        <v>13</v>
      </c>
    </row>
    <row r="937" spans="1:7" ht="19.5" customHeight="1" x14ac:dyDescent="0.3">
      <c r="A937" s="5"/>
      <c r="B937" s="50"/>
      <c r="C937" s="26"/>
      <c r="D937" s="51"/>
      <c r="E937" s="8"/>
      <c r="F937" s="59"/>
      <c r="G937" s="21"/>
    </row>
    <row r="938" spans="1:7" ht="19.5" hidden="1" customHeight="1" x14ac:dyDescent="0.3">
      <c r="A938" s="5"/>
      <c r="B938" s="50"/>
      <c r="C938" s="26"/>
      <c r="D938" s="51"/>
      <c r="E938" s="8"/>
      <c r="F938" s="59"/>
      <c r="G938" s="21"/>
    </row>
    <row r="939" spans="1:7" ht="19.5" hidden="1" customHeight="1" x14ac:dyDescent="0.3">
      <c r="A939" s="5"/>
      <c r="B939" s="50"/>
      <c r="C939" s="26"/>
      <c r="D939" s="51"/>
      <c r="E939" s="8"/>
      <c r="F939" s="59"/>
      <c r="G939" s="32"/>
    </row>
    <row r="940" spans="1:7" ht="19.5" hidden="1" customHeight="1" x14ac:dyDescent="0.3">
      <c r="A940" s="5"/>
      <c r="B940" s="50"/>
      <c r="C940" s="26"/>
      <c r="D940" s="51"/>
      <c r="E940" s="8"/>
      <c r="F940" s="59"/>
      <c r="G940" s="21"/>
    </row>
    <row r="941" spans="1:7" ht="19.5" hidden="1" customHeight="1" x14ac:dyDescent="0.3">
      <c r="A941" s="5"/>
      <c r="B941" s="37"/>
      <c r="C941" s="26"/>
      <c r="D941" s="51"/>
      <c r="E941" s="8"/>
      <c r="F941" s="59"/>
    </row>
    <row r="942" spans="1:7" ht="19.5" hidden="1" customHeight="1" x14ac:dyDescent="0.3">
      <c r="A942" s="5"/>
      <c r="B942" s="37"/>
      <c r="C942" s="26"/>
      <c r="D942" s="51"/>
      <c r="E942" s="8"/>
      <c r="F942" s="59"/>
      <c r="G942" s="21"/>
    </row>
    <row r="943" spans="1:7" ht="19.5" hidden="1" customHeight="1" x14ac:dyDescent="0.3">
      <c r="A943" s="5"/>
      <c r="B943" s="37"/>
      <c r="C943" s="26"/>
      <c r="D943" s="51"/>
      <c r="E943" s="8"/>
      <c r="F943" s="59"/>
    </row>
    <row r="944" spans="1:7" ht="19.5" hidden="1" customHeight="1" x14ac:dyDescent="0.3">
      <c r="A944" s="5"/>
      <c r="B944" s="37"/>
      <c r="C944" s="26"/>
      <c r="D944" s="51"/>
      <c r="E944" s="8"/>
      <c r="F944" s="59"/>
      <c r="G944" s="21"/>
    </row>
    <row r="945" spans="1:10" ht="19.5" hidden="1" customHeight="1" x14ac:dyDescent="0.3">
      <c r="A945" s="5"/>
      <c r="B945" s="37"/>
      <c r="C945" s="26"/>
      <c r="D945" s="51"/>
      <c r="E945" s="8"/>
      <c r="F945" s="59"/>
    </row>
    <row r="946" spans="1:10" ht="19.5" hidden="1" customHeight="1" x14ac:dyDescent="0.3">
      <c r="A946" s="5"/>
      <c r="B946" s="50"/>
      <c r="C946" s="26"/>
      <c r="D946" s="51"/>
      <c r="E946" s="8"/>
      <c r="F946" s="21"/>
      <c r="G946" s="21"/>
    </row>
    <row r="947" spans="1:10" ht="19.5" hidden="1" customHeight="1" x14ac:dyDescent="0.3">
      <c r="A947" s="5"/>
      <c r="B947" s="50"/>
      <c r="C947" s="26"/>
      <c r="D947" s="51"/>
      <c r="E947" s="8"/>
      <c r="F947" s="21"/>
      <c r="G947" s="21"/>
    </row>
    <row r="948" spans="1:10" ht="19.5" hidden="1" customHeight="1" x14ac:dyDescent="0.3">
      <c r="A948" s="5"/>
      <c r="B948" s="50"/>
      <c r="C948" s="26"/>
      <c r="D948" s="51"/>
      <c r="E948" s="8"/>
      <c r="F948" s="21"/>
      <c r="G948" s="21"/>
    </row>
    <row r="949" spans="1:10" ht="19.5" hidden="1" customHeight="1" x14ac:dyDescent="0.3">
      <c r="A949" s="5"/>
      <c r="B949" s="50"/>
      <c r="C949" s="26"/>
      <c r="D949" s="51"/>
      <c r="E949" s="8"/>
      <c r="F949" s="21"/>
      <c r="G949" s="21"/>
    </row>
    <row r="950" spans="1:10" ht="19.5" customHeight="1" x14ac:dyDescent="0.3">
      <c r="A950" s="5"/>
      <c r="B950" s="40" t="s">
        <v>195</v>
      </c>
      <c r="C950" s="100">
        <f>126050-300+30000</f>
        <v>155750</v>
      </c>
      <c r="D950" s="127" t="s">
        <v>189</v>
      </c>
      <c r="E950" s="8"/>
      <c r="G950" s="21"/>
      <c r="H950" s="21"/>
    </row>
    <row r="951" spans="1:10" ht="19.5" hidden="1" customHeight="1" x14ac:dyDescent="0.3">
      <c r="A951" s="5"/>
      <c r="B951" s="40"/>
      <c r="C951" s="100"/>
      <c r="D951" s="128"/>
      <c r="E951" s="8"/>
      <c r="F951" s="21"/>
    </row>
    <row r="952" spans="1:10" ht="19.5" customHeight="1" x14ac:dyDescent="0.3">
      <c r="A952" s="5"/>
      <c r="B952" s="40"/>
      <c r="C952" s="100"/>
      <c r="D952" s="128"/>
      <c r="E952" s="8"/>
      <c r="G952" s="21"/>
      <c r="H952" s="21"/>
    </row>
    <row r="953" spans="1:10" ht="19.5" customHeight="1" x14ac:dyDescent="0.3">
      <c r="A953" s="5"/>
      <c r="B953" s="40" t="s">
        <v>620</v>
      </c>
      <c r="C953" s="100">
        <v>270000</v>
      </c>
      <c r="D953" s="128"/>
      <c r="E953" s="86"/>
      <c r="G953" s="21"/>
    </row>
    <row r="954" spans="1:10" ht="19.5" customHeight="1" x14ac:dyDescent="0.3">
      <c r="A954" s="5"/>
      <c r="B954" s="40" t="s">
        <v>188</v>
      </c>
      <c r="C954" s="100"/>
      <c r="D954" s="128"/>
      <c r="E954" s="86"/>
      <c r="G954" s="21"/>
      <c r="I954" s="21"/>
    </row>
    <row r="955" spans="1:10" ht="19.5" customHeight="1" x14ac:dyDescent="0.3">
      <c r="A955" s="5"/>
      <c r="B955" s="40" t="s">
        <v>188</v>
      </c>
      <c r="C955" s="100"/>
      <c r="D955" s="128"/>
      <c r="E955" s="86"/>
      <c r="G955" s="21">
        <f>SUM(G949:G954)</f>
        <v>0</v>
      </c>
      <c r="J955" s="21"/>
    </row>
    <row r="956" spans="1:10" ht="19.5" customHeight="1" x14ac:dyDescent="0.3">
      <c r="A956" s="5"/>
      <c r="B956" s="40" t="s">
        <v>185</v>
      </c>
      <c r="C956" s="100"/>
      <c r="D956" s="128"/>
      <c r="E956" s="86"/>
      <c r="I956" s="21"/>
    </row>
    <row r="957" spans="1:10" ht="42" customHeight="1" x14ac:dyDescent="0.3">
      <c r="A957" s="5"/>
      <c r="B957" s="40" t="s">
        <v>523</v>
      </c>
      <c r="C957" s="101"/>
      <c r="D957" s="128"/>
      <c r="E957" s="86" t="s">
        <v>192</v>
      </c>
    </row>
    <row r="958" spans="1:10" ht="19.5" customHeight="1" x14ac:dyDescent="0.3">
      <c r="A958" s="5"/>
      <c r="B958" s="40" t="s">
        <v>194</v>
      </c>
      <c r="C958" s="100"/>
      <c r="D958" s="129"/>
      <c r="E958" s="86"/>
      <c r="F958" s="12" t="s">
        <v>17</v>
      </c>
      <c r="G958" s="13">
        <f>C937+C938+C939+C940+C949+C950+C952+C953+C954+C955</f>
        <v>425750</v>
      </c>
      <c r="H958" s="21"/>
      <c r="I958" s="82"/>
      <c r="J958" s="21"/>
    </row>
    <row r="959" spans="1:10" ht="19.5" customHeight="1" x14ac:dyDescent="0.3">
      <c r="A959" s="5"/>
      <c r="B959" s="40" t="s">
        <v>185</v>
      </c>
      <c r="C959" s="102"/>
      <c r="D959" s="70"/>
      <c r="E959" s="8"/>
      <c r="F959" s="12" t="s">
        <v>19</v>
      </c>
      <c r="G959" s="13">
        <f>C957+C958+C956+C959</f>
        <v>0</v>
      </c>
      <c r="I959" s="32"/>
    </row>
    <row r="960" spans="1:10" ht="19.5" customHeight="1" x14ac:dyDescent="0.25">
      <c r="A960" s="5"/>
      <c r="B960" s="121" t="s">
        <v>20</v>
      </c>
      <c r="C960" s="123">
        <f>SUM(C937:C959)</f>
        <v>425750</v>
      </c>
      <c r="D960" s="121" t="s">
        <v>20</v>
      </c>
      <c r="E960" s="125"/>
      <c r="F960" s="14" t="s">
        <v>86</v>
      </c>
      <c r="G960" s="38">
        <f>SUM(G958:G959)</f>
        <v>425750</v>
      </c>
    </row>
    <row r="961" spans="1:9" ht="19.5" customHeight="1" x14ac:dyDescent="0.25">
      <c r="A961" s="5"/>
      <c r="B961" s="122"/>
      <c r="C961" s="124"/>
      <c r="D961" s="122"/>
      <c r="E961" s="126"/>
      <c r="G961" s="21"/>
      <c r="H961" s="21"/>
    </row>
    <row r="962" spans="1:9" ht="19.5" customHeight="1" x14ac:dyDescent="0.25">
      <c r="H962" s="82"/>
    </row>
    <row r="964" spans="1:9" ht="19.5" customHeight="1" x14ac:dyDescent="0.25">
      <c r="I964" s="21"/>
    </row>
    <row r="965" spans="1:9" ht="19.5" customHeight="1" x14ac:dyDescent="0.25">
      <c r="H965" s="21">
        <f>C960-4380850</f>
        <v>-3955100</v>
      </c>
      <c r="I965" s="21"/>
    </row>
    <row r="966" spans="1:9" ht="19.5" customHeight="1" x14ac:dyDescent="0.25">
      <c r="I966" s="21"/>
    </row>
    <row r="969" spans="1:9" ht="19.5" customHeight="1" x14ac:dyDescent="0.25">
      <c r="D969" s="85"/>
    </row>
  </sheetData>
  <mergeCells count="170">
    <mergeCell ref="B826:B827"/>
    <mergeCell ref="C826:C827"/>
    <mergeCell ref="D826:D827"/>
    <mergeCell ref="E826:E827"/>
    <mergeCell ref="B803:B804"/>
    <mergeCell ref="C803:C804"/>
    <mergeCell ref="D803:D804"/>
    <mergeCell ref="E803:E804"/>
    <mergeCell ref="B734:B735"/>
    <mergeCell ref="C734:C735"/>
    <mergeCell ref="D734:D735"/>
    <mergeCell ref="E734:E735"/>
    <mergeCell ref="B780:B781"/>
    <mergeCell ref="C780:C781"/>
    <mergeCell ref="D780:D781"/>
    <mergeCell ref="E780:E781"/>
    <mergeCell ref="B757:B758"/>
    <mergeCell ref="C757:C758"/>
    <mergeCell ref="D757:D758"/>
    <mergeCell ref="E757:E758"/>
    <mergeCell ref="B619:B620"/>
    <mergeCell ref="C619:C620"/>
    <mergeCell ref="D619:D620"/>
    <mergeCell ref="E619:E620"/>
    <mergeCell ref="B711:B712"/>
    <mergeCell ref="C711:C712"/>
    <mergeCell ref="D711:D712"/>
    <mergeCell ref="E711:E712"/>
    <mergeCell ref="B688:B689"/>
    <mergeCell ref="C688:C689"/>
    <mergeCell ref="D688:D689"/>
    <mergeCell ref="E688:E689"/>
    <mergeCell ref="B665:B666"/>
    <mergeCell ref="C665:C666"/>
    <mergeCell ref="D665:D666"/>
    <mergeCell ref="E665:E666"/>
    <mergeCell ref="B642:B643"/>
    <mergeCell ref="C642:C643"/>
    <mergeCell ref="D642:D643"/>
    <mergeCell ref="E642:E643"/>
    <mergeCell ref="B594:B595"/>
    <mergeCell ref="C594:C595"/>
    <mergeCell ref="D594:D595"/>
    <mergeCell ref="E594:E595"/>
    <mergeCell ref="B571:B572"/>
    <mergeCell ref="C571:C572"/>
    <mergeCell ref="D571:D572"/>
    <mergeCell ref="E571:E572"/>
    <mergeCell ref="B525:B526"/>
    <mergeCell ref="C525:C526"/>
    <mergeCell ref="D525:D526"/>
    <mergeCell ref="E525:E526"/>
    <mergeCell ref="B479:B480"/>
    <mergeCell ref="C479:C480"/>
    <mergeCell ref="D479:D480"/>
    <mergeCell ref="E479:E480"/>
    <mergeCell ref="B502:B503"/>
    <mergeCell ref="C502:C503"/>
    <mergeCell ref="D502:D503"/>
    <mergeCell ref="E502:E503"/>
    <mergeCell ref="B430:B431"/>
    <mergeCell ref="C430:C431"/>
    <mergeCell ref="D430:D431"/>
    <mergeCell ref="E430:E431"/>
    <mergeCell ref="B456:B457"/>
    <mergeCell ref="C456:C457"/>
    <mergeCell ref="D456:D457"/>
    <mergeCell ref="E456:E457"/>
    <mergeCell ref="B361:B362"/>
    <mergeCell ref="C361:C362"/>
    <mergeCell ref="D361:D362"/>
    <mergeCell ref="E361:E362"/>
    <mergeCell ref="B407:B408"/>
    <mergeCell ref="C407:C408"/>
    <mergeCell ref="D407:D408"/>
    <mergeCell ref="E407:E408"/>
    <mergeCell ref="B384:B385"/>
    <mergeCell ref="C384:C385"/>
    <mergeCell ref="D384:D385"/>
    <mergeCell ref="E384:E385"/>
    <mergeCell ref="B338:B339"/>
    <mergeCell ref="C338:C339"/>
    <mergeCell ref="D338:D339"/>
    <mergeCell ref="E338:E339"/>
    <mergeCell ref="B314:B315"/>
    <mergeCell ref="C314:C315"/>
    <mergeCell ref="D314:D315"/>
    <mergeCell ref="E314:E315"/>
    <mergeCell ref="B245:B246"/>
    <mergeCell ref="C245:C246"/>
    <mergeCell ref="D245:D246"/>
    <mergeCell ref="E245:E246"/>
    <mergeCell ref="B292:B293"/>
    <mergeCell ref="C292:C293"/>
    <mergeCell ref="D292:D293"/>
    <mergeCell ref="E292:E293"/>
    <mergeCell ref="B267:B268"/>
    <mergeCell ref="C267:C268"/>
    <mergeCell ref="D267:D268"/>
    <mergeCell ref="E267:E268"/>
    <mergeCell ref="B215:B216"/>
    <mergeCell ref="C215:C216"/>
    <mergeCell ref="D215:D216"/>
    <mergeCell ref="E215:E216"/>
    <mergeCell ref="B194:B195"/>
    <mergeCell ref="C194:C195"/>
    <mergeCell ref="D194:D195"/>
    <mergeCell ref="E194:E195"/>
    <mergeCell ref="B173:B174"/>
    <mergeCell ref="C173:C174"/>
    <mergeCell ref="D173:D174"/>
    <mergeCell ref="E173:E174"/>
    <mergeCell ref="B152:B153"/>
    <mergeCell ref="C152:C153"/>
    <mergeCell ref="D152:D153"/>
    <mergeCell ref="E152:E153"/>
    <mergeCell ref="B131:B132"/>
    <mergeCell ref="C131:C132"/>
    <mergeCell ref="D131:D132"/>
    <mergeCell ref="E131:E132"/>
    <mergeCell ref="B112:B113"/>
    <mergeCell ref="C112:C113"/>
    <mergeCell ref="D112:D113"/>
    <mergeCell ref="E112:E113"/>
    <mergeCell ref="B15:B16"/>
    <mergeCell ref="C15:C16"/>
    <mergeCell ref="D15:D16"/>
    <mergeCell ref="E15:E16"/>
    <mergeCell ref="B34:B35"/>
    <mergeCell ref="C34:C35"/>
    <mergeCell ref="D34:D35"/>
    <mergeCell ref="E34:E35"/>
    <mergeCell ref="B548:B549"/>
    <mergeCell ref="C548:C549"/>
    <mergeCell ref="D548:D549"/>
    <mergeCell ref="E548:E549"/>
    <mergeCell ref="B54:B55"/>
    <mergeCell ref="C54:C55"/>
    <mergeCell ref="D54:D55"/>
    <mergeCell ref="E54:E55"/>
    <mergeCell ref="B93:B94"/>
    <mergeCell ref="C93:C94"/>
    <mergeCell ref="D93:D94"/>
    <mergeCell ref="E93:E94"/>
    <mergeCell ref="B74:B75"/>
    <mergeCell ref="C74:C75"/>
    <mergeCell ref="D74:D75"/>
    <mergeCell ref="E74:E75"/>
    <mergeCell ref="D847:D848"/>
    <mergeCell ref="B849:B850"/>
    <mergeCell ref="C849:C850"/>
    <mergeCell ref="D849:D850"/>
    <mergeCell ref="E849:E850"/>
    <mergeCell ref="B877:B878"/>
    <mergeCell ref="C877:C878"/>
    <mergeCell ref="D877:D878"/>
    <mergeCell ref="E877:E878"/>
    <mergeCell ref="B960:B961"/>
    <mergeCell ref="C960:C961"/>
    <mergeCell ref="D960:D961"/>
    <mergeCell ref="E960:E961"/>
    <mergeCell ref="B934:B935"/>
    <mergeCell ref="C934:C935"/>
    <mergeCell ref="D934:D935"/>
    <mergeCell ref="E934:E935"/>
    <mergeCell ref="B906:B907"/>
    <mergeCell ref="C906:C907"/>
    <mergeCell ref="D906:D907"/>
    <mergeCell ref="E906:E907"/>
    <mergeCell ref="D950:D958"/>
  </mergeCells>
  <pageMargins left="0" right="0" top="0" bottom="0" header="0.2" footer="0.3"/>
  <pageSetup paperSize="9" scale="95" orientation="landscape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I48"/>
  <sheetViews>
    <sheetView topLeftCell="D4" zoomScale="90" zoomScaleNormal="90" workbookViewId="0">
      <selection activeCell="H7" sqref="H7"/>
    </sheetView>
  </sheetViews>
  <sheetFormatPr defaultColWidth="9.140625" defaultRowHeight="15.75" x14ac:dyDescent="0.25"/>
  <cols>
    <col min="1" max="1" width="3.42578125" style="91" customWidth="1"/>
    <col min="2" max="2" width="29.5703125" style="91" customWidth="1"/>
    <col min="3" max="3" width="39" style="98" bestFit="1" customWidth="1"/>
    <col min="4" max="4" width="107.28515625" style="98" customWidth="1"/>
    <col min="5" max="5" width="18.85546875" style="98" customWidth="1"/>
    <col min="6" max="6" width="23" style="98" customWidth="1"/>
    <col min="7" max="8" width="9.140625" style="91"/>
    <col min="9" max="9" width="9.140625" style="92"/>
    <col min="10" max="16384" width="9.140625" style="91"/>
  </cols>
  <sheetData>
    <row r="1" spans="2:9" s="87" customFormat="1" ht="28.5" customHeight="1" x14ac:dyDescent="0.25">
      <c r="B1" s="134" t="s">
        <v>622</v>
      </c>
      <c r="C1" s="134"/>
      <c r="D1" s="134"/>
      <c r="E1" s="134"/>
      <c r="F1" s="134"/>
      <c r="I1" s="88"/>
    </row>
    <row r="2" spans="2:9" s="87" customFormat="1" ht="25.5" customHeight="1" x14ac:dyDescent="0.25">
      <c r="B2" s="134" t="s">
        <v>9</v>
      </c>
      <c r="C2" s="134"/>
      <c r="D2" s="134"/>
      <c r="E2" s="133">
        <f>'Cash Report '!I136</f>
        <v>867450</v>
      </c>
      <c r="F2" s="133"/>
      <c r="I2" s="88"/>
    </row>
    <row r="3" spans="2:9" x14ac:dyDescent="0.25">
      <c r="B3" s="89" t="s">
        <v>160</v>
      </c>
      <c r="C3" s="90" t="s">
        <v>161</v>
      </c>
      <c r="D3" s="90" t="s">
        <v>162</v>
      </c>
      <c r="E3" s="132" t="s">
        <v>163</v>
      </c>
      <c r="F3" s="132"/>
    </row>
    <row r="4" spans="2:9" s="95" customFormat="1" ht="39" customHeight="1" x14ac:dyDescent="0.25">
      <c r="B4" s="93" t="s">
        <v>623</v>
      </c>
      <c r="C4" s="94" t="s">
        <v>246</v>
      </c>
      <c r="D4" s="49" t="s">
        <v>625</v>
      </c>
      <c r="E4" s="94">
        <v>0</v>
      </c>
      <c r="F4" s="94">
        <v>484400</v>
      </c>
      <c r="I4" s="96"/>
    </row>
    <row r="5" spans="2:9" s="95" customFormat="1" ht="32.25" customHeight="1" x14ac:dyDescent="0.25">
      <c r="B5" s="93" t="s">
        <v>626</v>
      </c>
      <c r="C5" s="94" t="s">
        <v>464</v>
      </c>
      <c r="D5" s="97" t="s">
        <v>627</v>
      </c>
      <c r="E5" s="94">
        <v>10000</v>
      </c>
      <c r="F5" s="94">
        <v>0</v>
      </c>
      <c r="I5" s="96"/>
    </row>
    <row r="6" spans="2:9" s="95" customFormat="1" ht="35.25" customHeight="1" x14ac:dyDescent="0.25">
      <c r="B6" s="93" t="s">
        <v>628</v>
      </c>
      <c r="C6" s="94" t="s">
        <v>629</v>
      </c>
      <c r="D6" s="97" t="s">
        <v>630</v>
      </c>
      <c r="E6" s="94">
        <v>10000</v>
      </c>
      <c r="F6" s="94">
        <v>0</v>
      </c>
      <c r="I6" s="96"/>
    </row>
    <row r="7" spans="2:9" s="95" customFormat="1" ht="35.25" customHeight="1" x14ac:dyDescent="0.25">
      <c r="B7" s="93" t="s">
        <v>631</v>
      </c>
      <c r="C7" s="94" t="s">
        <v>632</v>
      </c>
      <c r="D7" s="97" t="s">
        <v>633</v>
      </c>
      <c r="E7" s="94">
        <v>10000</v>
      </c>
      <c r="F7" s="94">
        <v>0</v>
      </c>
      <c r="I7" s="96"/>
    </row>
    <row r="8" spans="2:9" s="95" customFormat="1" ht="35.25" customHeight="1" x14ac:dyDescent="0.25">
      <c r="B8" s="93" t="s">
        <v>634</v>
      </c>
      <c r="C8" s="94" t="s">
        <v>635</v>
      </c>
      <c r="D8" s="97" t="s">
        <v>637</v>
      </c>
      <c r="E8" s="94">
        <v>5200</v>
      </c>
      <c r="F8" s="94">
        <v>0</v>
      </c>
      <c r="I8" s="96"/>
    </row>
    <row r="9" spans="2:9" s="95" customFormat="1" ht="35.25" customHeight="1" x14ac:dyDescent="0.25">
      <c r="B9" s="93" t="s">
        <v>638</v>
      </c>
      <c r="C9" s="94" t="s">
        <v>537</v>
      </c>
      <c r="D9" s="97" t="s">
        <v>640</v>
      </c>
      <c r="E9" s="94">
        <v>7500</v>
      </c>
      <c r="F9" s="94">
        <v>0</v>
      </c>
      <c r="I9" s="96"/>
    </row>
    <row r="10" spans="2:9" s="95" customFormat="1" ht="35.25" hidden="1" customHeight="1" x14ac:dyDescent="0.25">
      <c r="B10" s="93"/>
      <c r="C10" s="94"/>
      <c r="D10" s="97"/>
      <c r="E10" s="94"/>
      <c r="F10" s="94"/>
      <c r="I10" s="96"/>
    </row>
    <row r="11" spans="2:9" s="95" customFormat="1" ht="26.25" hidden="1" customHeight="1" x14ac:dyDescent="0.25">
      <c r="B11" s="93"/>
      <c r="C11" s="94"/>
      <c r="D11" s="97"/>
      <c r="E11" s="94"/>
      <c r="F11" s="94"/>
      <c r="I11" s="96"/>
    </row>
    <row r="12" spans="2:9" s="95" customFormat="1" ht="26.25" hidden="1" customHeight="1" x14ac:dyDescent="0.25">
      <c r="B12" s="93"/>
      <c r="C12" s="94"/>
      <c r="D12" s="97"/>
      <c r="E12" s="94"/>
      <c r="F12" s="94"/>
      <c r="I12" s="96"/>
    </row>
    <row r="13" spans="2:9" s="95" customFormat="1" ht="35.25" hidden="1" customHeight="1" x14ac:dyDescent="0.25">
      <c r="B13" s="93"/>
      <c r="C13" s="94"/>
      <c r="D13" s="97"/>
      <c r="E13" s="94"/>
      <c r="F13" s="94"/>
      <c r="I13" s="96"/>
    </row>
    <row r="14" spans="2:9" s="95" customFormat="1" ht="35.25" hidden="1" customHeight="1" x14ac:dyDescent="0.25">
      <c r="B14" s="93"/>
      <c r="C14" s="94"/>
      <c r="D14" s="97"/>
      <c r="E14" s="94"/>
      <c r="F14" s="94"/>
      <c r="I14" s="96"/>
    </row>
    <row r="15" spans="2:9" s="95" customFormat="1" ht="35.25" hidden="1" customHeight="1" x14ac:dyDescent="0.25">
      <c r="B15" s="93"/>
      <c r="C15" s="94"/>
      <c r="D15" s="97"/>
      <c r="E15" s="94"/>
      <c r="F15" s="94"/>
      <c r="I15" s="96"/>
    </row>
    <row r="16" spans="2:9" s="95" customFormat="1" ht="35.25" hidden="1" customHeight="1" x14ac:dyDescent="0.25">
      <c r="B16" s="93"/>
      <c r="C16" s="94"/>
      <c r="D16" s="97"/>
      <c r="E16" s="94"/>
      <c r="F16" s="94"/>
      <c r="I16" s="96"/>
    </row>
    <row r="17" spans="2:9" s="95" customFormat="1" ht="35.25" hidden="1" customHeight="1" x14ac:dyDescent="0.25">
      <c r="B17" s="93"/>
      <c r="C17" s="94"/>
      <c r="D17" s="97"/>
      <c r="E17" s="94"/>
      <c r="F17" s="94"/>
      <c r="I17" s="96"/>
    </row>
    <row r="18" spans="2:9" s="95" customFormat="1" ht="37.5" hidden="1" customHeight="1" x14ac:dyDescent="0.25">
      <c r="B18" s="93"/>
      <c r="C18" s="94"/>
      <c r="D18" s="97"/>
      <c r="E18" s="94"/>
      <c r="F18" s="94"/>
      <c r="I18" s="96"/>
    </row>
    <row r="19" spans="2:9" s="95" customFormat="1" ht="34.5" hidden="1" customHeight="1" x14ac:dyDescent="0.25">
      <c r="B19" s="93"/>
      <c r="C19" s="94"/>
      <c r="D19" s="97"/>
      <c r="E19" s="94"/>
      <c r="F19" s="94"/>
      <c r="I19" s="96"/>
    </row>
    <row r="20" spans="2:9" s="95" customFormat="1" ht="34.5" hidden="1" customHeight="1" x14ac:dyDescent="0.25">
      <c r="B20" s="93"/>
      <c r="C20" s="94"/>
      <c r="D20" s="97"/>
      <c r="E20" s="94"/>
      <c r="F20" s="94"/>
      <c r="I20" s="96"/>
    </row>
    <row r="21" spans="2:9" s="95" customFormat="1" ht="32.25" hidden="1" customHeight="1" x14ac:dyDescent="0.25">
      <c r="B21" s="93"/>
      <c r="C21" s="94"/>
      <c r="D21" s="97"/>
      <c r="E21" s="94"/>
      <c r="F21" s="94"/>
      <c r="I21" s="96"/>
    </row>
    <row r="22" spans="2:9" s="95" customFormat="1" ht="38.25" hidden="1" customHeight="1" x14ac:dyDescent="0.25">
      <c r="B22" s="93"/>
      <c r="C22" s="94"/>
      <c r="D22" s="97"/>
      <c r="E22" s="94"/>
      <c r="F22" s="94"/>
      <c r="I22" s="96"/>
    </row>
    <row r="23" spans="2:9" s="95" customFormat="1" ht="34.5" hidden="1" customHeight="1" x14ac:dyDescent="0.25">
      <c r="B23" s="93"/>
      <c r="C23" s="94"/>
      <c r="D23" s="97"/>
      <c r="E23" s="94"/>
      <c r="F23" s="94"/>
      <c r="I23" s="96"/>
    </row>
    <row r="24" spans="2:9" s="95" customFormat="1" ht="37.5" hidden="1" customHeight="1" x14ac:dyDescent="0.25">
      <c r="B24" s="93"/>
      <c r="C24" s="94"/>
      <c r="D24" s="97"/>
      <c r="E24" s="94"/>
      <c r="F24" s="94"/>
      <c r="I24" s="96"/>
    </row>
    <row r="25" spans="2:9" s="95" customFormat="1" ht="34.5" hidden="1" customHeight="1" x14ac:dyDescent="0.25">
      <c r="B25" s="93"/>
      <c r="C25" s="94"/>
      <c r="D25" s="97"/>
      <c r="E25" s="94"/>
      <c r="F25" s="94"/>
      <c r="I25" s="96"/>
    </row>
    <row r="26" spans="2:9" s="95" customFormat="1" ht="30.75" hidden="1" customHeight="1" x14ac:dyDescent="0.25">
      <c r="B26" s="93"/>
      <c r="C26" s="94"/>
      <c r="D26" s="97"/>
      <c r="E26" s="94"/>
      <c r="F26" s="94"/>
      <c r="I26" s="96"/>
    </row>
    <row r="27" spans="2:9" s="95" customFormat="1" ht="27.75" hidden="1" customHeight="1" x14ac:dyDescent="0.25">
      <c r="B27" s="93"/>
      <c r="C27" s="94"/>
      <c r="D27" s="97"/>
      <c r="E27" s="94"/>
      <c r="F27" s="94"/>
      <c r="I27" s="96"/>
    </row>
    <row r="28" spans="2:9" s="95" customFormat="1" ht="48" hidden="1" customHeight="1" x14ac:dyDescent="0.25">
      <c r="B28" s="93"/>
      <c r="C28" s="94"/>
      <c r="D28" s="97"/>
      <c r="E28" s="94"/>
      <c r="F28" s="94"/>
      <c r="I28" s="96"/>
    </row>
    <row r="29" spans="2:9" s="95" customFormat="1" ht="24" customHeight="1" x14ac:dyDescent="0.25">
      <c r="B29" s="93"/>
      <c r="C29" s="94"/>
      <c r="D29" s="97"/>
      <c r="E29" s="94"/>
      <c r="F29" s="94"/>
      <c r="I29" s="96"/>
    </row>
    <row r="30" spans="2:9" s="95" customFormat="1" ht="24" hidden="1" customHeight="1" x14ac:dyDescent="0.25">
      <c r="B30" s="93"/>
      <c r="C30" s="94"/>
      <c r="D30" s="97"/>
      <c r="E30" s="94"/>
      <c r="F30" s="94"/>
      <c r="I30" s="96"/>
    </row>
    <row r="31" spans="2:9" s="95" customFormat="1" ht="24" hidden="1" customHeight="1" x14ac:dyDescent="0.25">
      <c r="B31" s="93"/>
      <c r="C31" s="94"/>
      <c r="D31" s="97"/>
      <c r="E31" s="94"/>
      <c r="F31" s="94"/>
      <c r="I31" s="96"/>
    </row>
    <row r="32" spans="2:9" s="95" customFormat="1" ht="24" hidden="1" customHeight="1" x14ac:dyDescent="0.25">
      <c r="B32" s="93"/>
      <c r="C32" s="94"/>
      <c r="D32" s="97"/>
      <c r="E32" s="94"/>
      <c r="F32" s="94"/>
      <c r="I32" s="96"/>
    </row>
    <row r="33" spans="2:9" s="95" customFormat="1" ht="24" hidden="1" customHeight="1" x14ac:dyDescent="0.25">
      <c r="B33" s="93"/>
      <c r="C33" s="94"/>
      <c r="D33" s="97"/>
      <c r="E33" s="94"/>
      <c r="F33" s="94"/>
      <c r="I33" s="96"/>
    </row>
    <row r="34" spans="2:9" s="95" customFormat="1" ht="24" hidden="1" customHeight="1" x14ac:dyDescent="0.25">
      <c r="B34" s="93"/>
      <c r="C34" s="94"/>
      <c r="D34" s="97"/>
      <c r="E34" s="94"/>
      <c r="F34" s="94"/>
      <c r="I34" s="96"/>
    </row>
    <row r="35" spans="2:9" s="95" customFormat="1" ht="24" hidden="1" customHeight="1" x14ac:dyDescent="0.25">
      <c r="B35" s="93"/>
      <c r="C35" s="94"/>
      <c r="D35" s="97"/>
      <c r="E35" s="94"/>
      <c r="F35" s="94"/>
      <c r="I35" s="96"/>
    </row>
    <row r="36" spans="2:9" s="95" customFormat="1" ht="24" hidden="1" customHeight="1" x14ac:dyDescent="0.25">
      <c r="B36" s="93"/>
      <c r="C36" s="94"/>
      <c r="D36" s="97"/>
      <c r="E36" s="94"/>
      <c r="F36" s="94"/>
      <c r="I36" s="96"/>
    </row>
    <row r="37" spans="2:9" s="95" customFormat="1" ht="24" hidden="1" customHeight="1" x14ac:dyDescent="0.25">
      <c r="B37" s="93"/>
      <c r="C37" s="94"/>
      <c r="D37" s="97"/>
      <c r="E37" s="94"/>
      <c r="F37" s="94"/>
      <c r="I37" s="96"/>
    </row>
    <row r="38" spans="2:9" s="95" customFormat="1" ht="24" hidden="1" customHeight="1" x14ac:dyDescent="0.25">
      <c r="B38" s="93"/>
      <c r="C38" s="94"/>
      <c r="D38" s="97"/>
      <c r="E38" s="94"/>
      <c r="F38" s="94"/>
      <c r="I38" s="96"/>
    </row>
    <row r="39" spans="2:9" s="95" customFormat="1" ht="21" customHeight="1" x14ac:dyDescent="0.25">
      <c r="B39" s="93"/>
      <c r="C39" s="94"/>
      <c r="D39" s="97" t="s">
        <v>164</v>
      </c>
      <c r="E39" s="94">
        <f>SUM(E4:E38)</f>
        <v>42700</v>
      </c>
      <c r="F39" s="94"/>
      <c r="I39" s="96"/>
    </row>
    <row r="40" spans="2:9" s="95" customFormat="1" ht="21" customHeight="1" x14ac:dyDescent="0.25">
      <c r="B40" s="93"/>
      <c r="C40" s="94"/>
      <c r="D40" s="97" t="s">
        <v>165</v>
      </c>
      <c r="E40" s="94"/>
      <c r="F40" s="94">
        <f>SUM(F4:F39)</f>
        <v>484400</v>
      </c>
      <c r="I40" s="96"/>
    </row>
    <row r="41" spans="2:9" s="95" customFormat="1" ht="29.25" customHeight="1" x14ac:dyDescent="0.25">
      <c r="B41" s="93"/>
      <c r="C41" s="94"/>
      <c r="D41" s="97" t="s">
        <v>86</v>
      </c>
      <c r="E41" s="94"/>
      <c r="F41" s="94">
        <f>E2+E39-F40</f>
        <v>425750</v>
      </c>
      <c r="I41" s="96"/>
    </row>
    <row r="45" spans="2:9" x14ac:dyDescent="0.25">
      <c r="B45" s="91" t="s">
        <v>186</v>
      </c>
    </row>
    <row r="48" spans="2:9" x14ac:dyDescent="0.25">
      <c r="B48" s="91" t="s">
        <v>187</v>
      </c>
    </row>
  </sheetData>
  <mergeCells count="4">
    <mergeCell ref="E3:F3"/>
    <mergeCell ref="E2:F2"/>
    <mergeCell ref="B2:D2"/>
    <mergeCell ref="B1:F1"/>
  </mergeCells>
  <pageMargins left="0.2" right="0" top="0" bottom="0" header="0.3" footer="0.3"/>
  <pageSetup paperSize="9" scale="65" orientation="landscape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Cash Report </vt:lpstr>
      <vt:lpstr>SEP</vt:lpstr>
      <vt:lpstr>Cash In Hand</vt:lpstr>
      <vt:lpstr>Daily Transactions</vt:lpstr>
      <vt:lpstr>'Daily Transactions'!Print_Area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2023-11-03T09:57:41Z</dcterms:modified>
</cp:coreProperties>
</file>