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comments14.xml" ContentType="application/vnd.openxmlformats-officedocument.spreadsheetml.comments+xml"/>
  <Override PartName="/xl/drawings/drawing17.xml" ContentType="application/vnd.openxmlformats-officedocument.drawing+xml"/>
  <Override PartName="/xl/comments15.xml" ContentType="application/vnd.openxmlformats-officedocument.spreadsheetml.comments+xml"/>
  <Override PartName="/xl/drawings/drawing18.xml" ContentType="application/vnd.openxmlformats-officedocument.drawing+xml"/>
  <Override PartName="/xl/comments16.xml" ContentType="application/vnd.openxmlformats-officedocument.spreadsheetml.comments+xml"/>
  <Override PartName="/xl/drawings/drawing19.xml" ContentType="application/vnd.openxmlformats-officedocument.drawing+xml"/>
  <Override PartName="/xl/comments17.xml" ContentType="application/vnd.openxmlformats-officedocument.spreadsheetml.comments+xml"/>
  <Override PartName="/xl/drawings/drawing20.xml" ContentType="application/vnd.openxmlformats-officedocument.drawing+xml"/>
  <Override PartName="/xl/comments18.xml" ContentType="application/vnd.openxmlformats-officedocument.spreadsheetml.comments+xml"/>
  <Override PartName="/xl/drawings/drawing21.xml" ContentType="application/vnd.openxmlformats-officedocument.drawing+xml"/>
  <Override PartName="/xl/comments19.xml" ContentType="application/vnd.openxmlformats-officedocument.spreadsheetml.comments+xml"/>
  <Override PartName="/xl/drawings/drawing22.xml" ContentType="application/vnd.openxmlformats-officedocument.drawing+xml"/>
  <Override PartName="/xl/comments20.xml" ContentType="application/vnd.openxmlformats-officedocument.spreadsheetml.comments+xml"/>
  <Override PartName="/xl/drawings/drawing23.xml" ContentType="application/vnd.openxmlformats-officedocument.drawing+xml"/>
  <Override PartName="/xl/comments21.xml" ContentType="application/vnd.openxmlformats-officedocument.spreadsheetml.comments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6815" windowHeight="7755" firstSheet="42" activeTab="49"/>
  </bookViews>
  <sheets>
    <sheet name="Format" sheetId="1" r:id="rId1"/>
    <sheet name="Oct'19 " sheetId="3" r:id="rId2"/>
    <sheet name="Nov'19" sheetId="4" r:id="rId3"/>
    <sheet name="Dec'19" sheetId="5" r:id="rId4"/>
    <sheet name="Jan'20" sheetId="6" r:id="rId5"/>
    <sheet name="Feb'20" sheetId="7" r:id="rId6"/>
    <sheet name="Mar'20" sheetId="8" r:id="rId7"/>
    <sheet name="Mar approve" sheetId="9" r:id="rId8"/>
    <sheet name="Apr'20" sheetId="10" r:id="rId9"/>
    <sheet name="May'20" sheetId="11" r:id="rId10"/>
    <sheet name="Jun'20" sheetId="12" r:id="rId11"/>
    <sheet name="Jul'20" sheetId="13" r:id="rId12"/>
    <sheet name="Aug'20" sheetId="14" r:id="rId13"/>
    <sheet name="Sep'20" sheetId="15" r:id="rId14"/>
    <sheet name="Nov'20" sheetId="16" r:id="rId15"/>
    <sheet name="Dec'20" sheetId="17" r:id="rId16"/>
    <sheet name="Jan'21" sheetId="18" r:id="rId17"/>
    <sheet name="Feb'21" sheetId="19" r:id="rId18"/>
    <sheet name="Mar'21" sheetId="20" r:id="rId19"/>
    <sheet name="Apr'21" sheetId="21" r:id="rId20"/>
    <sheet name="May'21" sheetId="22" r:id="rId21"/>
    <sheet name="Jun'21" sheetId="23" r:id="rId22"/>
    <sheet name="Jul'21" sheetId="24" r:id="rId23"/>
    <sheet name="Aug'21" sheetId="25" r:id="rId24"/>
    <sheet name="Sep'21" sheetId="26" r:id="rId25"/>
    <sheet name="S'part Dept" sheetId="27" r:id="rId26"/>
    <sheet name="Oct'21" sheetId="28" r:id="rId27"/>
    <sheet name="Nov'21" sheetId="29" r:id="rId28"/>
    <sheet name="Dec'21" sheetId="30" r:id="rId29"/>
    <sheet name="Jan'22" sheetId="31" r:id="rId30"/>
    <sheet name="Feb'22" sheetId="32" r:id="rId31"/>
    <sheet name="Mar'22" sheetId="33" r:id="rId32"/>
    <sheet name="Apr'22" sheetId="34" r:id="rId33"/>
    <sheet name="May'22" sheetId="35" r:id="rId34"/>
    <sheet name="Jun'22" sheetId="37" r:id="rId35"/>
    <sheet name="Jul'22" sheetId="38" r:id="rId36"/>
    <sheet name="Aug'22" sheetId="39" r:id="rId37"/>
    <sheet name="Sep'22" sheetId="40" r:id="rId38"/>
    <sheet name="Oct'22" sheetId="41" r:id="rId39"/>
    <sheet name="Nov'22" sheetId="42" r:id="rId40"/>
    <sheet name="Dec'22" sheetId="43" r:id="rId41"/>
    <sheet name="Jan'23" sheetId="44" r:id="rId42"/>
    <sheet name="Feb'23 " sheetId="45" r:id="rId43"/>
    <sheet name="Mar'23  (2)" sheetId="46" r:id="rId44"/>
    <sheet name="Apr'23  " sheetId="47" r:id="rId45"/>
    <sheet name="May'23   " sheetId="48" r:id="rId46"/>
    <sheet name="Jun'23    (2)" sheetId="50" r:id="rId47"/>
    <sheet name="Jul'23    " sheetId="51" r:id="rId48"/>
    <sheet name="Aug'23" sheetId="52" r:id="rId49"/>
    <sheet name="Sep'23" sheetId="53" r:id="rId50"/>
    <sheet name="Sheet1" sheetId="49" r:id="rId51"/>
    <sheet name="May'22 (2)" sheetId="36" state="hidden" r:id="rId52"/>
  </sheets>
  <definedNames>
    <definedName name="_xlnm.Print_Area" localSheetId="8">'Apr''20'!$B$1:$Z$55</definedName>
    <definedName name="_xlnm.Print_Area" localSheetId="19">'Apr''21'!$B$1:$Z$54</definedName>
    <definedName name="_xlnm.Print_Area" localSheetId="32">'Apr''22'!$B$1:$Z$54</definedName>
    <definedName name="_xlnm.Print_Area" localSheetId="44">'Apr''23  '!$B$1:$Z$54</definedName>
    <definedName name="_xlnm.Print_Area" localSheetId="12">'Aug''20'!$B$1:$Z$49</definedName>
    <definedName name="_xlnm.Print_Area" localSheetId="23">'Aug''21'!$B$1:$Z$54</definedName>
    <definedName name="_xlnm.Print_Area" localSheetId="36">'Aug''22'!$B$1:$Z$54</definedName>
    <definedName name="_xlnm.Print_Area" localSheetId="48">'Aug''23'!$B$1:$Z$54</definedName>
    <definedName name="_xlnm.Print_Area" localSheetId="3">'Dec''19'!$B$1:$E$46</definedName>
    <definedName name="_xlnm.Print_Area" localSheetId="15">'Dec''20'!$B$1:$Z$49</definedName>
    <definedName name="_xlnm.Print_Area" localSheetId="28">'Dec''21'!$B$1:$Z$54</definedName>
    <definedName name="_xlnm.Print_Area" localSheetId="40">'Dec''22'!$B$1:$Z$54</definedName>
    <definedName name="_xlnm.Print_Area" localSheetId="5">'Feb''20'!$B$1:$E$46</definedName>
    <definedName name="_xlnm.Print_Area" localSheetId="17">'Feb''21'!$B$1:$Z$54</definedName>
    <definedName name="_xlnm.Print_Area" localSheetId="30">'Feb''22'!$B$1:$Z$54</definedName>
    <definedName name="_xlnm.Print_Area" localSheetId="42">'Feb''23 '!$B$1:$Z$54</definedName>
    <definedName name="_xlnm.Print_Area" localSheetId="0">Format!$A$2:$Z$54</definedName>
    <definedName name="_xlnm.Print_Area" localSheetId="4">'Jan''20'!$B$1:$E$46</definedName>
    <definedName name="_xlnm.Print_Area" localSheetId="16">'Jan''21'!$B$1:$Z$49</definedName>
    <definedName name="_xlnm.Print_Area" localSheetId="29">'Jan''22'!$B$1:$Z$54</definedName>
    <definedName name="_xlnm.Print_Area" localSheetId="41">'Jan''23'!$B$1:$Z$54</definedName>
    <definedName name="_xlnm.Print_Area" localSheetId="11">'Jul''20'!$B$1:$Z$50</definedName>
    <definedName name="_xlnm.Print_Area" localSheetId="22">'Jul''21'!$B$1:$Z$54</definedName>
    <definedName name="_xlnm.Print_Area" localSheetId="35">'Jul''22'!$B$1:$Z$54</definedName>
    <definedName name="_xlnm.Print_Area" localSheetId="47">'Jul''23    '!$B$1:$Z$54</definedName>
    <definedName name="_xlnm.Print_Area" localSheetId="10">'Jun''20'!$B$1:$Z$50</definedName>
    <definedName name="_xlnm.Print_Area" localSheetId="21">'Jun''21'!$B$1:$Z$54</definedName>
    <definedName name="_xlnm.Print_Area" localSheetId="34">'Jun''22'!$B$1:$Z$54</definedName>
    <definedName name="_xlnm.Print_Area" localSheetId="46">'Jun''23    (2)'!$B$1:$Z$54</definedName>
    <definedName name="_xlnm.Print_Area" localSheetId="6">'Mar''20'!$B$1:$Z$55</definedName>
    <definedName name="_xlnm.Print_Area" localSheetId="18">'Mar''21'!$B$1:$Z$54</definedName>
    <definedName name="_xlnm.Print_Area" localSheetId="31">'Mar''22'!$B$1:$Z$54</definedName>
    <definedName name="_xlnm.Print_Area" localSheetId="43">'Mar''23  (2)'!$B$1:$Z$54</definedName>
    <definedName name="_xlnm.Print_Area" localSheetId="9">'May''20'!$B$1:$Z$48</definedName>
    <definedName name="_xlnm.Print_Area" localSheetId="20">'May''21'!$B$1:$Z$54</definedName>
    <definedName name="_xlnm.Print_Area" localSheetId="33">'May''22'!$B$1:$Z$54</definedName>
    <definedName name="_xlnm.Print_Area" localSheetId="51">'May''22 (2)'!$B$1:$Z$54</definedName>
    <definedName name="_xlnm.Print_Area" localSheetId="45">'May''23   '!$B$1:$Z$54</definedName>
    <definedName name="_xlnm.Print_Area" localSheetId="2">'Nov''19'!$B$1:$E$46</definedName>
    <definedName name="_xlnm.Print_Area" localSheetId="14">'Nov''20'!$B$1:$Z$49</definedName>
    <definedName name="_xlnm.Print_Area" localSheetId="27">'Nov''21'!$B$1:$Z$54</definedName>
    <definedName name="_xlnm.Print_Area" localSheetId="39">'Nov''22'!$B$1:$Z$54</definedName>
    <definedName name="_xlnm.Print_Area" localSheetId="1">'Oct''19 '!$B$1:$E$46</definedName>
    <definedName name="_xlnm.Print_Area" localSheetId="26">'Oct''21'!$B$1:$Z$54</definedName>
    <definedName name="_xlnm.Print_Area" localSheetId="38">'Oct''22'!$B$1:$Z$54</definedName>
    <definedName name="_xlnm.Print_Area" localSheetId="13">'Sep''20'!$B$1:$Z$49</definedName>
    <definedName name="_xlnm.Print_Area" localSheetId="24">'Sep''21'!$B$1:$Z$54</definedName>
    <definedName name="_xlnm.Print_Area" localSheetId="37">'Sep''22'!$B$1:$Z$54</definedName>
    <definedName name="_xlnm.Print_Area" localSheetId="49">'Sep''23'!$B$1:$Z$54</definedName>
    <definedName name="_xlnm.Print_Area" localSheetId="25">'S''part Dept'!$B$1:$Z$54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53" l="1"/>
  <c r="W38" i="53"/>
  <c r="V38" i="53"/>
  <c r="U38" i="53"/>
  <c r="T38" i="53"/>
  <c r="S38" i="53"/>
  <c r="R38" i="53"/>
  <c r="Q38" i="53"/>
  <c r="P38" i="53"/>
  <c r="O38" i="53"/>
  <c r="N38" i="53"/>
  <c r="M38" i="53"/>
  <c r="L38" i="53"/>
  <c r="K38" i="53"/>
  <c r="J38" i="53"/>
  <c r="I38" i="53"/>
  <c r="H38" i="53"/>
  <c r="G38" i="53"/>
  <c r="F38" i="53"/>
  <c r="E38" i="53"/>
  <c r="Y37" i="53"/>
  <c r="X37" i="53"/>
  <c r="Y36" i="53"/>
  <c r="X36" i="53"/>
  <c r="Y35" i="53"/>
  <c r="X35" i="53"/>
  <c r="Y34" i="53"/>
  <c r="X34" i="53"/>
  <c r="Y33" i="53"/>
  <c r="X33" i="53"/>
  <c r="AA32" i="53"/>
  <c r="Y32" i="53"/>
  <c r="X32" i="53"/>
  <c r="AB31" i="53"/>
  <c r="Y31" i="53"/>
  <c r="X31" i="53"/>
  <c r="D31" i="53"/>
  <c r="Y30" i="53"/>
  <c r="X30" i="53"/>
  <c r="Y29" i="53"/>
  <c r="X29" i="53"/>
  <c r="Y28" i="53"/>
  <c r="X28" i="53"/>
  <c r="Y27" i="53"/>
  <c r="X27" i="53"/>
  <c r="Y26" i="53"/>
  <c r="X26" i="53"/>
  <c r="Y25" i="53"/>
  <c r="X25" i="53"/>
  <c r="Y24" i="53"/>
  <c r="X24" i="53"/>
  <c r="Y23" i="53"/>
  <c r="X23" i="53"/>
  <c r="Y22" i="53"/>
  <c r="X22" i="53"/>
  <c r="Y21" i="53"/>
  <c r="X21" i="53"/>
  <c r="Y20" i="53"/>
  <c r="X20" i="53"/>
  <c r="Y19" i="53"/>
  <c r="X19" i="53"/>
  <c r="Y18" i="53"/>
  <c r="X18" i="53"/>
  <c r="Y17" i="53"/>
  <c r="D38" i="53"/>
  <c r="Y16" i="53"/>
  <c r="X16" i="53"/>
  <c r="Y15" i="53"/>
  <c r="X15" i="53"/>
  <c r="Y14" i="53"/>
  <c r="X14" i="53"/>
  <c r="Y13" i="53"/>
  <c r="X13" i="53"/>
  <c r="Y12" i="53"/>
  <c r="X12" i="53"/>
  <c r="Y11" i="53"/>
  <c r="X11" i="53"/>
  <c r="Y10" i="53"/>
  <c r="X10" i="53"/>
  <c r="Y9" i="53"/>
  <c r="X9" i="53"/>
  <c r="Y8" i="53"/>
  <c r="X8" i="53"/>
  <c r="Y7" i="53"/>
  <c r="X7" i="53"/>
  <c r="Y6" i="53"/>
  <c r="Y38" i="53" s="1"/>
  <c r="X6" i="53"/>
  <c r="X17" i="53" l="1"/>
  <c r="X38" i="53" s="1"/>
  <c r="D31" i="52"/>
  <c r="D17" i="52"/>
  <c r="W38" i="52" l="1"/>
  <c r="V38" i="52"/>
  <c r="U38" i="52"/>
  <c r="T38" i="52"/>
  <c r="S38" i="52"/>
  <c r="R38" i="52"/>
  <c r="Q38" i="52"/>
  <c r="P38" i="52"/>
  <c r="O38" i="52"/>
  <c r="N38" i="52"/>
  <c r="M38" i="52"/>
  <c r="L38" i="52"/>
  <c r="K38" i="52"/>
  <c r="J38" i="52"/>
  <c r="I38" i="52"/>
  <c r="H38" i="52"/>
  <c r="G38" i="52"/>
  <c r="F38" i="52"/>
  <c r="E38" i="52"/>
  <c r="Y37" i="52"/>
  <c r="X37" i="52"/>
  <c r="Y36" i="52"/>
  <c r="X36" i="52"/>
  <c r="Y35" i="52"/>
  <c r="X35" i="52"/>
  <c r="Y34" i="52"/>
  <c r="X34" i="52"/>
  <c r="Y33" i="52"/>
  <c r="X33" i="52"/>
  <c r="Y32" i="52"/>
  <c r="X32" i="52"/>
  <c r="AB31" i="52"/>
  <c r="Y31" i="52"/>
  <c r="X31" i="52"/>
  <c r="AA32" i="52" s="1"/>
  <c r="Y30" i="52"/>
  <c r="X30" i="52"/>
  <c r="Y29" i="52"/>
  <c r="X29" i="52"/>
  <c r="Y28" i="52"/>
  <c r="X28" i="52"/>
  <c r="Y27" i="52"/>
  <c r="X27" i="52"/>
  <c r="Y26" i="52"/>
  <c r="X26" i="52"/>
  <c r="Y25" i="52"/>
  <c r="X25" i="52"/>
  <c r="Y24" i="52"/>
  <c r="X24" i="52"/>
  <c r="Y23" i="52"/>
  <c r="X23" i="52"/>
  <c r="Y22" i="52"/>
  <c r="X22" i="52"/>
  <c r="Y21" i="52"/>
  <c r="X21" i="52"/>
  <c r="Y20" i="52"/>
  <c r="X20" i="52"/>
  <c r="Y19" i="52"/>
  <c r="X19" i="52"/>
  <c r="Y18" i="52"/>
  <c r="X18" i="52"/>
  <c r="Y17" i="52"/>
  <c r="D38" i="52"/>
  <c r="Y16" i="52"/>
  <c r="X16" i="52"/>
  <c r="Y15" i="52"/>
  <c r="X15" i="52"/>
  <c r="Y14" i="52"/>
  <c r="X14" i="52"/>
  <c r="Y13" i="52"/>
  <c r="X13" i="52"/>
  <c r="Y12" i="52"/>
  <c r="X12" i="52"/>
  <c r="Y11" i="52"/>
  <c r="X11" i="52"/>
  <c r="Y10" i="52"/>
  <c r="X10" i="52"/>
  <c r="Y9" i="52"/>
  <c r="X9" i="52"/>
  <c r="Y8" i="52"/>
  <c r="X8" i="52"/>
  <c r="Y7" i="52"/>
  <c r="X7" i="52"/>
  <c r="Y6" i="52"/>
  <c r="Y38" i="52" s="1"/>
  <c r="X6" i="52"/>
  <c r="X17" i="52" l="1"/>
  <c r="X38" i="52" s="1"/>
  <c r="D31" i="51"/>
  <c r="AB31" i="51"/>
  <c r="D17" i="51"/>
  <c r="D38" i="51" s="1"/>
  <c r="W38" i="51"/>
  <c r="V38" i="51"/>
  <c r="U38" i="51"/>
  <c r="T38" i="51"/>
  <c r="S38" i="51"/>
  <c r="R38" i="51"/>
  <c r="Q38" i="51"/>
  <c r="P38" i="51"/>
  <c r="O38" i="51"/>
  <c r="N38" i="51"/>
  <c r="M38" i="51"/>
  <c r="L38" i="51"/>
  <c r="K38" i="51"/>
  <c r="J38" i="51"/>
  <c r="I38" i="51"/>
  <c r="H38" i="51"/>
  <c r="G38" i="51"/>
  <c r="F38" i="51"/>
  <c r="E38" i="51"/>
  <c r="Y37" i="51"/>
  <c r="X37" i="51"/>
  <c r="Y36" i="51"/>
  <c r="X36" i="51"/>
  <c r="Y35" i="51"/>
  <c r="X35" i="51"/>
  <c r="Y34" i="51"/>
  <c r="X34" i="51"/>
  <c r="Y33" i="51"/>
  <c r="X33" i="51"/>
  <c r="Y32" i="51"/>
  <c r="X32" i="51"/>
  <c r="Y31" i="51"/>
  <c r="X31" i="51"/>
  <c r="AA32" i="51" s="1"/>
  <c r="Y30" i="51"/>
  <c r="X30" i="51"/>
  <c r="Y29" i="51"/>
  <c r="X29" i="51"/>
  <c r="Y28" i="51"/>
  <c r="X28" i="51"/>
  <c r="Y27" i="51"/>
  <c r="X27" i="51"/>
  <c r="Y26" i="51"/>
  <c r="X26" i="51"/>
  <c r="Y25" i="51"/>
  <c r="X25" i="51"/>
  <c r="Y24" i="51"/>
  <c r="X24" i="51"/>
  <c r="Y23" i="51"/>
  <c r="X23" i="51"/>
  <c r="Y22" i="51"/>
  <c r="X22" i="51"/>
  <c r="Y21" i="51"/>
  <c r="X21" i="51"/>
  <c r="Y20" i="51"/>
  <c r="X20" i="51"/>
  <c r="Y19" i="51"/>
  <c r="X19" i="51"/>
  <c r="Y18" i="51"/>
  <c r="X18" i="51"/>
  <c r="Y17" i="51"/>
  <c r="Y16" i="51"/>
  <c r="X16" i="51"/>
  <c r="Y15" i="51"/>
  <c r="X15" i="51"/>
  <c r="Y14" i="51"/>
  <c r="X14" i="51"/>
  <c r="Y13" i="51"/>
  <c r="X13" i="51"/>
  <c r="Y12" i="51"/>
  <c r="X12" i="51"/>
  <c r="Y11" i="51"/>
  <c r="X11" i="51"/>
  <c r="Y10" i="51"/>
  <c r="X10" i="51"/>
  <c r="Y9" i="51"/>
  <c r="X9" i="51"/>
  <c r="Y8" i="51"/>
  <c r="X8" i="51"/>
  <c r="Y7" i="51"/>
  <c r="X7" i="51"/>
  <c r="Y6" i="51"/>
  <c r="Y38" i="51" s="1"/>
  <c r="X6" i="51"/>
  <c r="X17" i="51" l="1"/>
  <c r="X38" i="51" s="1"/>
  <c r="D31" i="50"/>
  <c r="D17" i="50"/>
  <c r="W38" i="50" l="1"/>
  <c r="V38" i="50"/>
  <c r="U38" i="50"/>
  <c r="T38" i="50"/>
  <c r="S38" i="50"/>
  <c r="R38" i="50"/>
  <c r="Q38" i="50"/>
  <c r="P38" i="50"/>
  <c r="O38" i="50"/>
  <c r="N38" i="50"/>
  <c r="M38" i="50"/>
  <c r="L38" i="50"/>
  <c r="K38" i="50"/>
  <c r="J38" i="50"/>
  <c r="I38" i="50"/>
  <c r="H38" i="50"/>
  <c r="G38" i="50"/>
  <c r="F38" i="50"/>
  <c r="E38" i="50"/>
  <c r="Y37" i="50"/>
  <c r="X37" i="50"/>
  <c r="Y36" i="50"/>
  <c r="X36" i="50"/>
  <c r="Y35" i="50"/>
  <c r="X35" i="50"/>
  <c r="Y34" i="50"/>
  <c r="X34" i="50"/>
  <c r="Y33" i="50"/>
  <c r="X33" i="50"/>
  <c r="Y32" i="50"/>
  <c r="X32" i="50"/>
  <c r="Y31" i="50"/>
  <c r="X31" i="50"/>
  <c r="AA32" i="50" s="1"/>
  <c r="Y30" i="50"/>
  <c r="X30" i="50"/>
  <c r="Y29" i="50"/>
  <c r="X29" i="50"/>
  <c r="Y28" i="50"/>
  <c r="X28" i="50"/>
  <c r="Y27" i="50"/>
  <c r="X27" i="50"/>
  <c r="Y26" i="50"/>
  <c r="X26" i="50"/>
  <c r="Y25" i="50"/>
  <c r="X25" i="50"/>
  <c r="Y24" i="50"/>
  <c r="X24" i="50"/>
  <c r="Y23" i="50"/>
  <c r="X23" i="50"/>
  <c r="Y22" i="50"/>
  <c r="X22" i="50"/>
  <c r="Y21" i="50"/>
  <c r="X21" i="50"/>
  <c r="Y20" i="50"/>
  <c r="X20" i="50"/>
  <c r="Y19" i="50"/>
  <c r="X19" i="50"/>
  <c r="Y18" i="50"/>
  <c r="X18" i="50"/>
  <c r="Y17" i="50"/>
  <c r="X17" i="50"/>
  <c r="Y16" i="50"/>
  <c r="X16" i="50"/>
  <c r="Y15" i="50"/>
  <c r="X15" i="50"/>
  <c r="Y14" i="50"/>
  <c r="X14" i="50"/>
  <c r="Y13" i="50"/>
  <c r="X13" i="50"/>
  <c r="Y12" i="50"/>
  <c r="X12" i="50"/>
  <c r="Y11" i="50"/>
  <c r="X11" i="50"/>
  <c r="Y10" i="50"/>
  <c r="X10" i="50"/>
  <c r="Y9" i="50"/>
  <c r="X9" i="50"/>
  <c r="Y8" i="50"/>
  <c r="X8" i="50"/>
  <c r="Y7" i="50"/>
  <c r="X7" i="50"/>
  <c r="Y6" i="50"/>
  <c r="Y38" i="50" s="1"/>
  <c r="X6" i="50"/>
  <c r="X38" i="50" l="1"/>
  <c r="D38" i="50"/>
  <c r="G23" i="49"/>
  <c r="W38" i="48" l="1"/>
  <c r="V38" i="48"/>
  <c r="U38" i="48"/>
  <c r="T38" i="48"/>
  <c r="S38" i="48"/>
  <c r="R38" i="48"/>
  <c r="Q38" i="48"/>
  <c r="P38" i="48"/>
  <c r="O38" i="48"/>
  <c r="N38" i="48"/>
  <c r="M38" i="48"/>
  <c r="L38" i="48"/>
  <c r="K38" i="48"/>
  <c r="J38" i="48"/>
  <c r="I38" i="48"/>
  <c r="H38" i="48"/>
  <c r="G38" i="48"/>
  <c r="F38" i="48"/>
  <c r="E38" i="48"/>
  <c r="Y37" i="48"/>
  <c r="X37" i="48"/>
  <c r="Y36" i="48"/>
  <c r="X36" i="48"/>
  <c r="Y35" i="48"/>
  <c r="X35" i="48"/>
  <c r="Y34" i="48"/>
  <c r="X34" i="48"/>
  <c r="Y33" i="48"/>
  <c r="X33" i="48"/>
  <c r="Y32" i="48"/>
  <c r="X32" i="48"/>
  <c r="Y31" i="48"/>
  <c r="X31" i="48"/>
  <c r="AA32" i="48" s="1"/>
  <c r="Y30" i="48"/>
  <c r="X30" i="48"/>
  <c r="Y29" i="48"/>
  <c r="X29" i="48"/>
  <c r="Y28" i="48"/>
  <c r="X28" i="48"/>
  <c r="Y27" i="48"/>
  <c r="X27" i="48"/>
  <c r="Y26" i="48"/>
  <c r="X26" i="48"/>
  <c r="Y25" i="48"/>
  <c r="X25" i="48"/>
  <c r="Y24" i="48"/>
  <c r="X24" i="48"/>
  <c r="Y23" i="48"/>
  <c r="X23" i="48"/>
  <c r="Y22" i="48"/>
  <c r="X22" i="48"/>
  <c r="Y21" i="48"/>
  <c r="X21" i="48"/>
  <c r="Y20" i="48"/>
  <c r="X20" i="48"/>
  <c r="Y19" i="48"/>
  <c r="X19" i="48"/>
  <c r="Y18" i="48"/>
  <c r="X18" i="48"/>
  <c r="Y17" i="48"/>
  <c r="X17" i="48"/>
  <c r="D17" i="48"/>
  <c r="D38" i="48" s="1"/>
  <c r="Y16" i="48"/>
  <c r="X16" i="48"/>
  <c r="Y15" i="48"/>
  <c r="X15" i="48"/>
  <c r="Y14" i="48"/>
  <c r="X14" i="48"/>
  <c r="Y13" i="48"/>
  <c r="X13" i="48"/>
  <c r="Y12" i="48"/>
  <c r="X12" i="48"/>
  <c r="Y11" i="48"/>
  <c r="X11" i="48"/>
  <c r="Y10" i="48"/>
  <c r="X10" i="48"/>
  <c r="Y9" i="48"/>
  <c r="X9" i="48"/>
  <c r="Y8" i="48"/>
  <c r="X8" i="48"/>
  <c r="Y7" i="48"/>
  <c r="Y38" i="48" s="1"/>
  <c r="X7" i="48"/>
  <c r="Y6" i="48"/>
  <c r="X6" i="48"/>
  <c r="X38" i="48" s="1"/>
  <c r="AA32" i="47" l="1"/>
  <c r="X31" i="47" l="1"/>
  <c r="D17" i="47"/>
  <c r="W38" i="47"/>
  <c r="V38" i="47"/>
  <c r="U38" i="47"/>
  <c r="T38" i="47"/>
  <c r="S38" i="47"/>
  <c r="R38" i="47"/>
  <c r="Q38" i="47"/>
  <c r="P38" i="47"/>
  <c r="O38" i="47"/>
  <c r="N38" i="47"/>
  <c r="M38" i="47"/>
  <c r="L38" i="47"/>
  <c r="K38" i="47"/>
  <c r="J38" i="47"/>
  <c r="I38" i="47"/>
  <c r="H38" i="47"/>
  <c r="G38" i="47"/>
  <c r="F38" i="47"/>
  <c r="E38" i="47"/>
  <c r="Y37" i="47"/>
  <c r="X37" i="47"/>
  <c r="Y36" i="47"/>
  <c r="X36" i="47"/>
  <c r="Y35" i="47"/>
  <c r="X35" i="47"/>
  <c r="Y34" i="47"/>
  <c r="X34" i="47"/>
  <c r="Y33" i="47"/>
  <c r="X33" i="47"/>
  <c r="Y32" i="47"/>
  <c r="X32" i="47"/>
  <c r="Y31" i="47"/>
  <c r="Y30" i="47"/>
  <c r="X30" i="47"/>
  <c r="Y29" i="47"/>
  <c r="X29" i="47"/>
  <c r="Y28" i="47"/>
  <c r="X28" i="47"/>
  <c r="Y27" i="47"/>
  <c r="X27" i="47"/>
  <c r="Y26" i="47"/>
  <c r="X26" i="47"/>
  <c r="Y25" i="47"/>
  <c r="X25" i="47"/>
  <c r="Y24" i="47"/>
  <c r="X24" i="47"/>
  <c r="Y23" i="47"/>
  <c r="X23" i="47"/>
  <c r="Y22" i="47"/>
  <c r="X22" i="47"/>
  <c r="Y21" i="47"/>
  <c r="X21" i="47"/>
  <c r="Y20" i="47"/>
  <c r="X20" i="47"/>
  <c r="Y19" i="47"/>
  <c r="X19" i="47"/>
  <c r="Y18" i="47"/>
  <c r="X18" i="47"/>
  <c r="Y17" i="47"/>
  <c r="X17" i="47"/>
  <c r="Y16" i="47"/>
  <c r="X16" i="47"/>
  <c r="Y15" i="47"/>
  <c r="X15" i="47"/>
  <c r="Y14" i="47"/>
  <c r="X14" i="47"/>
  <c r="Y13" i="47"/>
  <c r="X13" i="47"/>
  <c r="Y12" i="47"/>
  <c r="X12" i="47"/>
  <c r="Y11" i="47"/>
  <c r="X11" i="47"/>
  <c r="Y10" i="47"/>
  <c r="X10" i="47"/>
  <c r="Y9" i="47"/>
  <c r="X9" i="47"/>
  <c r="Y8" i="47"/>
  <c r="X8" i="47"/>
  <c r="Y7" i="47"/>
  <c r="Y38" i="47" s="1"/>
  <c r="X7" i="47"/>
  <c r="Y6" i="47"/>
  <c r="X6" i="47"/>
  <c r="D38" i="47" l="1"/>
  <c r="X38" i="47"/>
  <c r="D31" i="46"/>
  <c r="D17" i="46"/>
  <c r="X17" i="46" l="1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I38" i="46"/>
  <c r="H38" i="46"/>
  <c r="G38" i="46"/>
  <c r="F38" i="46"/>
  <c r="E38" i="46"/>
  <c r="Y37" i="46"/>
  <c r="X37" i="46"/>
  <c r="Y36" i="46"/>
  <c r="X36" i="46"/>
  <c r="Y35" i="46"/>
  <c r="X35" i="46"/>
  <c r="Y34" i="46"/>
  <c r="X34" i="46"/>
  <c r="Y33" i="46"/>
  <c r="X33" i="46"/>
  <c r="Y32" i="46"/>
  <c r="X32" i="46"/>
  <c r="Y31" i="46"/>
  <c r="X31" i="46"/>
  <c r="Y30" i="46"/>
  <c r="X30" i="46"/>
  <c r="Y29" i="46"/>
  <c r="X29" i="46"/>
  <c r="Y28" i="46"/>
  <c r="X28" i="46"/>
  <c r="Y27" i="46"/>
  <c r="X27" i="46"/>
  <c r="Y26" i="46"/>
  <c r="X26" i="46"/>
  <c r="Y25" i="46"/>
  <c r="X25" i="46"/>
  <c r="Y24" i="46"/>
  <c r="X24" i="46"/>
  <c r="Y23" i="46"/>
  <c r="X23" i="46"/>
  <c r="Y22" i="46"/>
  <c r="X22" i="46"/>
  <c r="Y21" i="46"/>
  <c r="X21" i="46"/>
  <c r="Y20" i="46"/>
  <c r="X20" i="46"/>
  <c r="Y19" i="46"/>
  <c r="X19" i="46"/>
  <c r="Y18" i="46"/>
  <c r="X18" i="46"/>
  <c r="Y17" i="46"/>
  <c r="D38" i="46"/>
  <c r="Y16" i="46"/>
  <c r="X16" i="46"/>
  <c r="Y15" i="46"/>
  <c r="X15" i="46"/>
  <c r="Y14" i="46"/>
  <c r="X14" i="46"/>
  <c r="Y13" i="46"/>
  <c r="X13" i="46"/>
  <c r="Y12" i="46"/>
  <c r="X12" i="46"/>
  <c r="Y11" i="46"/>
  <c r="X11" i="46"/>
  <c r="Y10" i="46"/>
  <c r="X10" i="46"/>
  <c r="Y9" i="46"/>
  <c r="X9" i="46"/>
  <c r="Y8" i="46"/>
  <c r="X8" i="46"/>
  <c r="Y7" i="46"/>
  <c r="Y38" i="46" s="1"/>
  <c r="X7" i="46"/>
  <c r="Y6" i="46"/>
  <c r="X6" i="46"/>
  <c r="X38" i="46" l="1"/>
  <c r="D31" i="45"/>
  <c r="D17" i="45"/>
  <c r="W38" i="45" l="1"/>
  <c r="V38" i="45"/>
  <c r="U38" i="45"/>
  <c r="T38" i="45"/>
  <c r="S38" i="45"/>
  <c r="R38" i="45"/>
  <c r="Q38" i="45"/>
  <c r="P38" i="45"/>
  <c r="O38" i="45"/>
  <c r="N38" i="45"/>
  <c r="M38" i="45"/>
  <c r="L38" i="45"/>
  <c r="K38" i="45"/>
  <c r="J38" i="45"/>
  <c r="I38" i="45"/>
  <c r="H38" i="45"/>
  <c r="G38" i="45"/>
  <c r="F38" i="45"/>
  <c r="E38" i="45"/>
  <c r="Y37" i="45"/>
  <c r="X37" i="45"/>
  <c r="Y36" i="45"/>
  <c r="X36" i="45"/>
  <c r="Y35" i="45"/>
  <c r="X35" i="45"/>
  <c r="Y34" i="45"/>
  <c r="X34" i="45"/>
  <c r="Y33" i="45"/>
  <c r="X33" i="45"/>
  <c r="Y32" i="45"/>
  <c r="X32" i="45"/>
  <c r="Y31" i="45"/>
  <c r="X31" i="45"/>
  <c r="Y30" i="45"/>
  <c r="X30" i="45"/>
  <c r="Y29" i="45"/>
  <c r="X29" i="45"/>
  <c r="Y28" i="45"/>
  <c r="X28" i="45"/>
  <c r="Y27" i="45"/>
  <c r="X27" i="45"/>
  <c r="Y26" i="45"/>
  <c r="X26" i="45"/>
  <c r="Y25" i="45"/>
  <c r="X25" i="45"/>
  <c r="Y24" i="45"/>
  <c r="X24" i="45"/>
  <c r="Y23" i="45"/>
  <c r="X23" i="45"/>
  <c r="Y22" i="45"/>
  <c r="X22" i="45"/>
  <c r="Y21" i="45"/>
  <c r="X21" i="45"/>
  <c r="Y20" i="45"/>
  <c r="X20" i="45"/>
  <c r="Y19" i="45"/>
  <c r="X19" i="45"/>
  <c r="Y18" i="45"/>
  <c r="X18" i="45"/>
  <c r="Y17" i="45"/>
  <c r="X17" i="45"/>
  <c r="Y16" i="45"/>
  <c r="X16" i="45"/>
  <c r="Y15" i="45"/>
  <c r="X15" i="45"/>
  <c r="Y14" i="45"/>
  <c r="X14" i="45"/>
  <c r="Y13" i="45"/>
  <c r="X13" i="45"/>
  <c r="Y12" i="45"/>
  <c r="X12" i="45"/>
  <c r="Y11" i="45"/>
  <c r="X11" i="45"/>
  <c r="Y10" i="45"/>
  <c r="X10" i="45"/>
  <c r="Y9" i="45"/>
  <c r="X9" i="45"/>
  <c r="Y8" i="45"/>
  <c r="X8" i="45"/>
  <c r="Y7" i="45"/>
  <c r="X7" i="45"/>
  <c r="Y6" i="45"/>
  <c r="Y38" i="45" s="1"/>
  <c r="X6" i="45"/>
  <c r="X38" i="45" l="1"/>
  <c r="D38" i="45"/>
  <c r="D31" i="44"/>
  <c r="X31" i="44" s="1"/>
  <c r="W38" i="44"/>
  <c r="V38" i="44"/>
  <c r="U38" i="44"/>
  <c r="T38" i="44"/>
  <c r="S38" i="44"/>
  <c r="R38" i="44"/>
  <c r="Q38" i="44"/>
  <c r="P38" i="44"/>
  <c r="O38" i="44"/>
  <c r="N38" i="44"/>
  <c r="M38" i="44"/>
  <c r="L38" i="44"/>
  <c r="K38" i="44"/>
  <c r="J38" i="44"/>
  <c r="I38" i="44"/>
  <c r="H38" i="44"/>
  <c r="G38" i="44"/>
  <c r="F38" i="44"/>
  <c r="E38" i="44"/>
  <c r="Y37" i="44"/>
  <c r="X37" i="44"/>
  <c r="Y36" i="44"/>
  <c r="X36" i="44"/>
  <c r="Y35" i="44"/>
  <c r="X35" i="44"/>
  <c r="Y34" i="44"/>
  <c r="X34" i="44"/>
  <c r="Y33" i="44"/>
  <c r="X33" i="44"/>
  <c r="Y32" i="44"/>
  <c r="X32" i="44"/>
  <c r="Y31" i="44"/>
  <c r="Y30" i="44"/>
  <c r="X30" i="44"/>
  <c r="Y29" i="44"/>
  <c r="X29" i="44"/>
  <c r="Y28" i="44"/>
  <c r="X28" i="44"/>
  <c r="Y27" i="44"/>
  <c r="X27" i="44"/>
  <c r="Y26" i="44"/>
  <c r="X26" i="44"/>
  <c r="Y25" i="44"/>
  <c r="X25" i="44"/>
  <c r="Y24" i="44"/>
  <c r="X24" i="44"/>
  <c r="Y23" i="44"/>
  <c r="X23" i="44"/>
  <c r="Y22" i="44"/>
  <c r="X22" i="44"/>
  <c r="Y21" i="44"/>
  <c r="X21" i="44"/>
  <c r="Y20" i="44"/>
  <c r="X20" i="44"/>
  <c r="Y19" i="44"/>
  <c r="X19" i="44"/>
  <c r="Y18" i="44"/>
  <c r="X18" i="44"/>
  <c r="Y17" i="44"/>
  <c r="X17" i="44"/>
  <c r="D17" i="44"/>
  <c r="Y16" i="44"/>
  <c r="X16" i="44"/>
  <c r="Y15" i="44"/>
  <c r="X15" i="44"/>
  <c r="Y14" i="44"/>
  <c r="X14" i="44"/>
  <c r="Y13" i="44"/>
  <c r="X13" i="44"/>
  <c r="Y12" i="44"/>
  <c r="X12" i="44"/>
  <c r="Y11" i="44"/>
  <c r="X11" i="44"/>
  <c r="Y10" i="44"/>
  <c r="X10" i="44"/>
  <c r="Y9" i="44"/>
  <c r="X9" i="44"/>
  <c r="Y8" i="44"/>
  <c r="X8" i="44"/>
  <c r="Y7" i="44"/>
  <c r="X7" i="44"/>
  <c r="Y6" i="44"/>
  <c r="Y38" i="44" s="1"/>
  <c r="X6" i="44"/>
  <c r="D31" i="43"/>
  <c r="D17" i="43"/>
  <c r="D38" i="44" l="1"/>
  <c r="X38" i="44"/>
  <c r="AE21" i="43"/>
  <c r="AE19" i="43"/>
  <c r="AD23" i="43"/>
  <c r="AD26" i="43" s="1"/>
  <c r="AD21" i="43"/>
  <c r="AC19" i="43"/>
  <c r="AE20" i="43"/>
  <c r="AD19" i="43"/>
  <c r="AE18" i="43"/>
  <c r="AD18" i="43"/>
  <c r="AE17" i="43"/>
  <c r="AD17" i="43"/>
  <c r="X14" i="43"/>
  <c r="W38" i="43"/>
  <c r="V38" i="43"/>
  <c r="U38" i="43"/>
  <c r="T38" i="43"/>
  <c r="S38" i="43"/>
  <c r="R38" i="43"/>
  <c r="Q38" i="43"/>
  <c r="P38" i="43"/>
  <c r="O38" i="43"/>
  <c r="N38" i="43"/>
  <c r="M38" i="43"/>
  <c r="L38" i="43"/>
  <c r="K38" i="43"/>
  <c r="J38" i="43"/>
  <c r="I38" i="43"/>
  <c r="H38" i="43"/>
  <c r="G38" i="43"/>
  <c r="F38" i="43"/>
  <c r="E38" i="43"/>
  <c r="Y37" i="43"/>
  <c r="X37" i="43"/>
  <c r="Y36" i="43"/>
  <c r="X36" i="43"/>
  <c r="Y35" i="43"/>
  <c r="X35" i="43"/>
  <c r="Y34" i="43"/>
  <c r="X34" i="43"/>
  <c r="Y33" i="43"/>
  <c r="X33" i="43"/>
  <c r="Y32" i="43"/>
  <c r="X32" i="43"/>
  <c r="Y31" i="43"/>
  <c r="X31" i="43"/>
  <c r="Y30" i="43"/>
  <c r="X30" i="43"/>
  <c r="Y29" i="43"/>
  <c r="X29" i="43"/>
  <c r="Y28" i="43"/>
  <c r="X28" i="43"/>
  <c r="Y27" i="43"/>
  <c r="X27" i="43"/>
  <c r="Y26" i="43"/>
  <c r="X26" i="43"/>
  <c r="Y25" i="43"/>
  <c r="X25" i="43"/>
  <c r="Y24" i="43"/>
  <c r="X24" i="43"/>
  <c r="Y23" i="43"/>
  <c r="X23" i="43"/>
  <c r="Y22" i="43"/>
  <c r="X22" i="43"/>
  <c r="Y21" i="43"/>
  <c r="X21" i="43"/>
  <c r="Y20" i="43"/>
  <c r="X20" i="43"/>
  <c r="Y19" i="43"/>
  <c r="X19" i="43"/>
  <c r="Y18" i="43"/>
  <c r="X18" i="43"/>
  <c r="Y17" i="43"/>
  <c r="X17" i="43"/>
  <c r="Y16" i="43"/>
  <c r="X16" i="43"/>
  <c r="Y15" i="43"/>
  <c r="X15" i="43"/>
  <c r="Y14" i="43"/>
  <c r="Y13" i="43"/>
  <c r="X13" i="43"/>
  <c r="Y12" i="43"/>
  <c r="X12" i="43"/>
  <c r="Y11" i="43"/>
  <c r="X11" i="43"/>
  <c r="Y10" i="43"/>
  <c r="X10" i="43"/>
  <c r="Y9" i="43"/>
  <c r="X9" i="43"/>
  <c r="Y8" i="43"/>
  <c r="X8" i="43"/>
  <c r="Y7" i="43"/>
  <c r="X7" i="43"/>
  <c r="Y6" i="43"/>
  <c r="Y38" i="43" s="1"/>
  <c r="X6" i="43"/>
  <c r="X38" i="43" l="1"/>
  <c r="D38" i="43"/>
  <c r="AD17" i="42"/>
  <c r="AE18" i="42" s="1"/>
  <c r="AE17" i="42"/>
  <c r="AC28" i="42"/>
  <c r="AC27" i="42"/>
  <c r="AB26" i="42"/>
  <c r="AB27" i="42" s="1"/>
  <c r="AB25" i="42"/>
  <c r="AE29" i="42"/>
  <c r="AC20" i="42" s="1"/>
  <c r="AD20" i="42" s="1"/>
  <c r="AB22" i="42" l="1"/>
  <c r="AB23" i="42" s="1"/>
  <c r="AB21" i="42" l="1"/>
  <c r="AB20" i="42"/>
  <c r="D31" i="42"/>
  <c r="AB19" i="42"/>
  <c r="D17" i="42"/>
  <c r="X14" i="42" l="1"/>
  <c r="Y38" i="42" l="1"/>
  <c r="W38" i="42"/>
  <c r="V38" i="42"/>
  <c r="U38" i="42"/>
  <c r="T38" i="42"/>
  <c r="S38" i="42"/>
  <c r="R38" i="42"/>
  <c r="Q38" i="42"/>
  <c r="P38" i="42"/>
  <c r="O38" i="42"/>
  <c r="N38" i="42"/>
  <c r="M38" i="42"/>
  <c r="L38" i="42"/>
  <c r="K38" i="42"/>
  <c r="J38" i="42"/>
  <c r="I38" i="42"/>
  <c r="H38" i="42"/>
  <c r="G38" i="42"/>
  <c r="F38" i="42"/>
  <c r="E38" i="42"/>
  <c r="D38" i="42"/>
  <c r="Y37" i="42"/>
  <c r="X37" i="42"/>
  <c r="Y36" i="42"/>
  <c r="X36" i="42"/>
  <c r="Y35" i="42"/>
  <c r="X35" i="42"/>
  <c r="Y34" i="42"/>
  <c r="X34" i="42"/>
  <c r="Y33" i="42"/>
  <c r="X33" i="42"/>
  <c r="Y32" i="42"/>
  <c r="X32" i="42"/>
  <c r="Y31" i="42"/>
  <c r="X31" i="42"/>
  <c r="Y30" i="42"/>
  <c r="X30" i="42"/>
  <c r="Y29" i="42"/>
  <c r="X29" i="42"/>
  <c r="Y28" i="42"/>
  <c r="X28" i="42"/>
  <c r="Y27" i="42"/>
  <c r="X27" i="42"/>
  <c r="Y26" i="42"/>
  <c r="X26" i="42"/>
  <c r="Y25" i="42"/>
  <c r="X25" i="42"/>
  <c r="Y24" i="42"/>
  <c r="X24" i="42"/>
  <c r="Y23" i="42"/>
  <c r="X23" i="42"/>
  <c r="Y22" i="42"/>
  <c r="X22" i="42"/>
  <c r="Y21" i="42"/>
  <c r="X21" i="42"/>
  <c r="Y20" i="42"/>
  <c r="X20" i="42"/>
  <c r="Y19" i="42"/>
  <c r="X19" i="42"/>
  <c r="Y18" i="42"/>
  <c r="X18" i="42"/>
  <c r="Y17" i="42"/>
  <c r="X17" i="42"/>
  <c r="X38" i="42" s="1"/>
  <c r="Y16" i="42"/>
  <c r="X16" i="42"/>
  <c r="Y15" i="42"/>
  <c r="X15" i="42"/>
  <c r="Y14" i="42"/>
  <c r="Y13" i="42"/>
  <c r="X13" i="42"/>
  <c r="Y12" i="42"/>
  <c r="X12" i="42"/>
  <c r="Y11" i="42"/>
  <c r="X11" i="42"/>
  <c r="Y10" i="42"/>
  <c r="X10" i="42"/>
  <c r="Y9" i="42"/>
  <c r="X9" i="42"/>
  <c r="Y8" i="42"/>
  <c r="X8" i="42"/>
  <c r="Y7" i="42"/>
  <c r="X7" i="42"/>
  <c r="Y6" i="42"/>
  <c r="X6" i="42"/>
  <c r="D17" i="41" l="1"/>
  <c r="D31" i="41"/>
  <c r="X31" i="41" s="1"/>
  <c r="AD27" i="41"/>
  <c r="AD26" i="41"/>
  <c r="AD25" i="41"/>
  <c r="AD24" i="41"/>
  <c r="AD23" i="41"/>
  <c r="AD22" i="41"/>
  <c r="AD21" i="41"/>
  <c r="AC24" i="41"/>
  <c r="AC23" i="41"/>
  <c r="AC22" i="41"/>
  <c r="AC21" i="41"/>
  <c r="AB24" i="41"/>
  <c r="AB23" i="41"/>
  <c r="AB22" i="41"/>
  <c r="AB21" i="41"/>
  <c r="W38" i="41"/>
  <c r="V38" i="41"/>
  <c r="U38" i="41"/>
  <c r="T38" i="41"/>
  <c r="S38" i="41"/>
  <c r="R38" i="41"/>
  <c r="Q38" i="41"/>
  <c r="P38" i="41"/>
  <c r="O38" i="41"/>
  <c r="N38" i="41"/>
  <c r="M38" i="41"/>
  <c r="L38" i="41"/>
  <c r="K38" i="41"/>
  <c r="J38" i="41"/>
  <c r="I38" i="41"/>
  <c r="H38" i="41"/>
  <c r="G38" i="41"/>
  <c r="F38" i="41"/>
  <c r="E38" i="41"/>
  <c r="Y37" i="41"/>
  <c r="X37" i="41"/>
  <c r="Y36" i="41"/>
  <c r="X36" i="41"/>
  <c r="Y35" i="41"/>
  <c r="X35" i="41"/>
  <c r="Y34" i="41"/>
  <c r="X34" i="41"/>
  <c r="Y33" i="41"/>
  <c r="X33" i="41"/>
  <c r="Y32" i="41"/>
  <c r="X32" i="41"/>
  <c r="Y31" i="41"/>
  <c r="Y30" i="41"/>
  <c r="X30" i="41"/>
  <c r="Y29" i="41"/>
  <c r="X29" i="41"/>
  <c r="Y28" i="41"/>
  <c r="X28" i="41"/>
  <c r="Y27" i="41"/>
  <c r="X27" i="41"/>
  <c r="Y26" i="41"/>
  <c r="X26" i="41"/>
  <c r="Y25" i="41"/>
  <c r="X25" i="41"/>
  <c r="Y24" i="41"/>
  <c r="X24" i="41"/>
  <c r="Y23" i="41"/>
  <c r="X23" i="41"/>
  <c r="Y22" i="41"/>
  <c r="X22" i="41"/>
  <c r="Y21" i="41"/>
  <c r="X21" i="41"/>
  <c r="Y20" i="41"/>
  <c r="X20" i="41"/>
  <c r="AA19" i="41"/>
  <c r="Y19" i="41"/>
  <c r="X19" i="41"/>
  <c r="AB18" i="41"/>
  <c r="AB19" i="41" s="1"/>
  <c r="AB20" i="41" s="1"/>
  <c r="Y18" i="41"/>
  <c r="X18" i="41"/>
  <c r="Y17" i="41"/>
  <c r="X17" i="41"/>
  <c r="D38" i="41"/>
  <c r="Y16" i="41"/>
  <c r="X16" i="41"/>
  <c r="Y15" i="41"/>
  <c r="X15" i="41"/>
  <c r="Y14" i="41"/>
  <c r="X14" i="41"/>
  <c r="Y13" i="41"/>
  <c r="X13" i="41"/>
  <c r="Y12" i="41"/>
  <c r="X12" i="41"/>
  <c r="Y11" i="41"/>
  <c r="X11" i="41"/>
  <c r="Y10" i="41"/>
  <c r="X10" i="41"/>
  <c r="Y9" i="41"/>
  <c r="X9" i="41"/>
  <c r="Y8" i="41"/>
  <c r="X8" i="41"/>
  <c r="Y7" i="41"/>
  <c r="X7" i="41"/>
  <c r="Y6" i="41"/>
  <c r="Y38" i="41" s="1"/>
  <c r="X6" i="41"/>
  <c r="AB20" i="40"/>
  <c r="AB19" i="40"/>
  <c r="AB18" i="40"/>
  <c r="AA19" i="40"/>
  <c r="X38" i="41" l="1"/>
  <c r="D31" i="40" l="1"/>
  <c r="D17" i="40"/>
  <c r="X17" i="40"/>
  <c r="X14" i="40"/>
  <c r="W38" i="40"/>
  <c r="V38" i="40"/>
  <c r="U38" i="40"/>
  <c r="T38" i="40"/>
  <c r="S38" i="40"/>
  <c r="R38" i="40"/>
  <c r="Q38" i="40"/>
  <c r="P38" i="40"/>
  <c r="O38" i="40"/>
  <c r="N38" i="40"/>
  <c r="M38" i="40"/>
  <c r="L38" i="40"/>
  <c r="K38" i="40"/>
  <c r="J38" i="40"/>
  <c r="I38" i="40"/>
  <c r="H38" i="40"/>
  <c r="G38" i="40"/>
  <c r="F38" i="40"/>
  <c r="E38" i="40"/>
  <c r="Y37" i="40"/>
  <c r="X37" i="40"/>
  <c r="Y36" i="40"/>
  <c r="X36" i="40"/>
  <c r="Y35" i="40"/>
  <c r="X35" i="40"/>
  <c r="Y34" i="40"/>
  <c r="X34" i="40"/>
  <c r="Y33" i="40"/>
  <c r="X33" i="40"/>
  <c r="Y32" i="40"/>
  <c r="X32" i="40"/>
  <c r="Y31" i="40"/>
  <c r="X31" i="40"/>
  <c r="Y30" i="40"/>
  <c r="X30" i="40"/>
  <c r="Y29" i="40"/>
  <c r="X29" i="40"/>
  <c r="Y28" i="40"/>
  <c r="X28" i="40"/>
  <c r="Y27" i="40"/>
  <c r="X27" i="40"/>
  <c r="Y26" i="40"/>
  <c r="X26" i="40"/>
  <c r="Y25" i="40"/>
  <c r="X25" i="40"/>
  <c r="Y24" i="40"/>
  <c r="X24" i="40"/>
  <c r="Y23" i="40"/>
  <c r="X23" i="40"/>
  <c r="Y22" i="40"/>
  <c r="X22" i="40"/>
  <c r="Y21" i="40"/>
  <c r="X21" i="40"/>
  <c r="Y20" i="40"/>
  <c r="X20" i="40"/>
  <c r="Y19" i="40"/>
  <c r="X19" i="40"/>
  <c r="Y18" i="40"/>
  <c r="X18" i="40"/>
  <c r="Y17" i="40"/>
  <c r="D38" i="40"/>
  <c r="Y16" i="40"/>
  <c r="X16" i="40"/>
  <c r="Y15" i="40"/>
  <c r="X15" i="40"/>
  <c r="Y14" i="40"/>
  <c r="Y13" i="40"/>
  <c r="X13" i="40"/>
  <c r="Y12" i="40"/>
  <c r="X12" i="40"/>
  <c r="Y11" i="40"/>
  <c r="X11" i="40"/>
  <c r="Y10" i="40"/>
  <c r="X10" i="40"/>
  <c r="Y9" i="40"/>
  <c r="X9" i="40"/>
  <c r="Y8" i="40"/>
  <c r="X8" i="40"/>
  <c r="Y7" i="40"/>
  <c r="X7" i="40"/>
  <c r="Y6" i="40"/>
  <c r="Y38" i="40" s="1"/>
  <c r="X6" i="40"/>
  <c r="X38" i="40" l="1"/>
  <c r="AA33" i="39"/>
  <c r="AA35" i="39"/>
  <c r="D31" i="39" l="1"/>
  <c r="D17" i="39"/>
  <c r="X14" i="39" l="1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Y37" i="39"/>
  <c r="X37" i="39"/>
  <c r="Y36" i="39"/>
  <c r="X36" i="39"/>
  <c r="Y35" i="39"/>
  <c r="X35" i="39"/>
  <c r="Y34" i="39"/>
  <c r="X34" i="39"/>
  <c r="Y33" i="39"/>
  <c r="X33" i="39"/>
  <c r="Y32" i="39"/>
  <c r="X32" i="39"/>
  <c r="AA31" i="39"/>
  <c r="Y31" i="39"/>
  <c r="X31" i="39"/>
  <c r="AB31" i="39" s="1"/>
  <c r="Y30" i="39"/>
  <c r="X30" i="39"/>
  <c r="Y29" i="39"/>
  <c r="X29" i="39"/>
  <c r="Y28" i="39"/>
  <c r="X28" i="39"/>
  <c r="Y27" i="39"/>
  <c r="X27" i="39"/>
  <c r="Y26" i="39"/>
  <c r="X26" i="39"/>
  <c r="Y25" i="39"/>
  <c r="X25" i="39"/>
  <c r="Y24" i="39"/>
  <c r="X24" i="39"/>
  <c r="Y23" i="39"/>
  <c r="X23" i="39"/>
  <c r="Y22" i="39"/>
  <c r="X22" i="39"/>
  <c r="Y21" i="39"/>
  <c r="X21" i="39"/>
  <c r="Y20" i="39"/>
  <c r="X20" i="39"/>
  <c r="Y19" i="39"/>
  <c r="X19" i="39"/>
  <c r="Y18" i="39"/>
  <c r="X18" i="39"/>
  <c r="Y17" i="39"/>
  <c r="X17" i="39"/>
  <c r="Y16" i="39"/>
  <c r="X16" i="39"/>
  <c r="Y15" i="39"/>
  <c r="X15" i="39"/>
  <c r="Y14" i="39"/>
  <c r="Y13" i="39"/>
  <c r="X13" i="39"/>
  <c r="Y12" i="39"/>
  <c r="X12" i="39"/>
  <c r="Y11" i="39"/>
  <c r="X11" i="39"/>
  <c r="Y10" i="39"/>
  <c r="X10" i="39"/>
  <c r="Y9" i="39"/>
  <c r="X9" i="39"/>
  <c r="Y8" i="39"/>
  <c r="X8" i="39"/>
  <c r="Y7" i="39"/>
  <c r="X7" i="39"/>
  <c r="Y6" i="39"/>
  <c r="Y38" i="39" s="1"/>
  <c r="X6" i="39"/>
  <c r="X38" i="39" l="1"/>
  <c r="D38" i="39"/>
  <c r="AA31" i="38"/>
  <c r="AB31" i="38"/>
  <c r="D31" i="38" l="1"/>
  <c r="D17" i="38"/>
  <c r="AA18" i="38" l="1"/>
  <c r="AB18" i="38" s="1"/>
  <c r="X14" i="38"/>
  <c r="X31" i="38"/>
  <c r="X38" i="38" s="1"/>
  <c r="W38" i="38"/>
  <c r="V38" i="38"/>
  <c r="U38" i="38"/>
  <c r="T38" i="38"/>
  <c r="S38" i="38"/>
  <c r="R38" i="38"/>
  <c r="Q38" i="38"/>
  <c r="P38" i="38"/>
  <c r="O38" i="38"/>
  <c r="N38" i="38"/>
  <c r="M38" i="38"/>
  <c r="L38" i="38"/>
  <c r="K38" i="38"/>
  <c r="J38" i="38"/>
  <c r="I38" i="38"/>
  <c r="H38" i="38"/>
  <c r="G38" i="38"/>
  <c r="F38" i="38"/>
  <c r="E38" i="38"/>
  <c r="D38" i="38"/>
  <c r="Y37" i="38"/>
  <c r="X37" i="38"/>
  <c r="Y36" i="38"/>
  <c r="X36" i="38"/>
  <c r="Y35" i="38"/>
  <c r="X35" i="38"/>
  <c r="Y34" i="38"/>
  <c r="X34" i="38"/>
  <c r="Y33" i="38"/>
  <c r="X33" i="38"/>
  <c r="Y32" i="38"/>
  <c r="X32" i="38"/>
  <c r="Y31" i="38"/>
  <c r="Y30" i="38"/>
  <c r="X30" i="38"/>
  <c r="Y29" i="38"/>
  <c r="X29" i="38"/>
  <c r="Y28" i="38"/>
  <c r="X28" i="38"/>
  <c r="Y27" i="38"/>
  <c r="X27" i="38"/>
  <c r="Y26" i="38"/>
  <c r="X26" i="38"/>
  <c r="Y25" i="38"/>
  <c r="X25" i="38"/>
  <c r="Y24" i="38"/>
  <c r="X24" i="38"/>
  <c r="Y23" i="38"/>
  <c r="X23" i="38"/>
  <c r="Y22" i="38"/>
  <c r="X22" i="38"/>
  <c r="Y21" i="38"/>
  <c r="X21" i="38"/>
  <c r="Y20" i="38"/>
  <c r="X20" i="38"/>
  <c r="Y19" i="38"/>
  <c r="X19" i="38"/>
  <c r="Y18" i="38"/>
  <c r="X18" i="38"/>
  <c r="Y17" i="38"/>
  <c r="X17" i="38"/>
  <c r="Y16" i="38"/>
  <c r="X16" i="38"/>
  <c r="Y15" i="38"/>
  <c r="X15" i="38"/>
  <c r="Y14" i="38"/>
  <c r="Y13" i="38"/>
  <c r="X13" i="38"/>
  <c r="Y12" i="38"/>
  <c r="X12" i="38"/>
  <c r="Y11" i="38"/>
  <c r="X11" i="38"/>
  <c r="Y10" i="38"/>
  <c r="X10" i="38"/>
  <c r="Y9" i="38"/>
  <c r="X9" i="38"/>
  <c r="Y8" i="38"/>
  <c r="X8" i="38"/>
  <c r="Y7" i="38"/>
  <c r="X7" i="38"/>
  <c r="Y6" i="38"/>
  <c r="Y38" i="38" s="1"/>
  <c r="X6" i="38"/>
  <c r="X30" i="37" l="1"/>
  <c r="X14" i="37"/>
  <c r="D17" i="37"/>
  <c r="AB18" i="37"/>
  <c r="AA18" i="37"/>
  <c r="D31" i="37"/>
  <c r="W38" i="37"/>
  <c r="V38" i="37"/>
  <c r="U38" i="37"/>
  <c r="T38" i="37"/>
  <c r="S38" i="37"/>
  <c r="R38" i="37"/>
  <c r="Q38" i="37"/>
  <c r="P38" i="37"/>
  <c r="O38" i="37"/>
  <c r="N38" i="37"/>
  <c r="M38" i="37"/>
  <c r="L38" i="37"/>
  <c r="K38" i="37"/>
  <c r="J38" i="37"/>
  <c r="I38" i="37"/>
  <c r="H38" i="37"/>
  <c r="G38" i="37"/>
  <c r="F38" i="37"/>
  <c r="E38" i="37"/>
  <c r="Y37" i="37"/>
  <c r="X37" i="37"/>
  <c r="Y36" i="37"/>
  <c r="X36" i="37"/>
  <c r="Y35" i="37"/>
  <c r="X35" i="37"/>
  <c r="Y34" i="37"/>
  <c r="X34" i="37"/>
  <c r="Y33" i="37"/>
  <c r="X33" i="37"/>
  <c r="Y32" i="37"/>
  <c r="X32" i="37"/>
  <c r="Y31" i="37"/>
  <c r="X31" i="37"/>
  <c r="Y30" i="37"/>
  <c r="Y29" i="37"/>
  <c r="X29" i="37"/>
  <c r="Y28" i="37"/>
  <c r="X28" i="37"/>
  <c r="Y27" i="37"/>
  <c r="X27" i="37"/>
  <c r="Y26" i="37"/>
  <c r="X26" i="37"/>
  <c r="Y25" i="37"/>
  <c r="X25" i="37"/>
  <c r="Y24" i="37"/>
  <c r="X24" i="37"/>
  <c r="Y23" i="37"/>
  <c r="X23" i="37"/>
  <c r="Y22" i="37"/>
  <c r="X22" i="37"/>
  <c r="Y21" i="37"/>
  <c r="X21" i="37"/>
  <c r="Y20" i="37"/>
  <c r="X20" i="37"/>
  <c r="Y19" i="37"/>
  <c r="X19" i="37"/>
  <c r="Y18" i="37"/>
  <c r="X18" i="37"/>
  <c r="Y17" i="37"/>
  <c r="X17" i="37"/>
  <c r="Y16" i="37"/>
  <c r="X16" i="37"/>
  <c r="Y15" i="37"/>
  <c r="X15" i="37"/>
  <c r="Y14" i="37"/>
  <c r="Y13" i="37"/>
  <c r="X13" i="37"/>
  <c r="Y12" i="37"/>
  <c r="X12" i="37"/>
  <c r="Y11" i="37"/>
  <c r="X11" i="37"/>
  <c r="Y10" i="37"/>
  <c r="X10" i="37"/>
  <c r="Y9" i="37"/>
  <c r="X9" i="37"/>
  <c r="Y8" i="37"/>
  <c r="X8" i="37"/>
  <c r="Y7" i="37"/>
  <c r="X7" i="37"/>
  <c r="Y6" i="37"/>
  <c r="Y38" i="37" s="1"/>
  <c r="X6" i="37"/>
  <c r="X38" i="37" l="1"/>
  <c r="D38" i="37"/>
  <c r="X23" i="36"/>
  <c r="X22" i="36"/>
  <c r="X17" i="36" l="1"/>
  <c r="X14" i="36"/>
  <c r="X31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E38" i="36"/>
  <c r="Y37" i="36"/>
  <c r="X37" i="36"/>
  <c r="Y36" i="36"/>
  <c r="X36" i="36"/>
  <c r="Y35" i="36"/>
  <c r="X35" i="36"/>
  <c r="Y34" i="36"/>
  <c r="X34" i="36"/>
  <c r="Y33" i="36"/>
  <c r="X33" i="36"/>
  <c r="AB32" i="36"/>
  <c r="Y32" i="36"/>
  <c r="X32" i="36"/>
  <c r="AB31" i="36"/>
  <c r="Y31" i="36"/>
  <c r="Y30" i="36"/>
  <c r="X30" i="36"/>
  <c r="Y29" i="36"/>
  <c r="X29" i="36"/>
  <c r="Y28" i="36"/>
  <c r="X28" i="36"/>
  <c r="Y27" i="36"/>
  <c r="X27" i="36"/>
  <c r="Y26" i="36"/>
  <c r="X26" i="36"/>
  <c r="Y25" i="36"/>
  <c r="X25" i="36"/>
  <c r="Y24" i="36"/>
  <c r="X24" i="36"/>
  <c r="Y23" i="36"/>
  <c r="Y22" i="36"/>
  <c r="Y21" i="36"/>
  <c r="X21" i="36"/>
  <c r="Y20" i="36"/>
  <c r="X20" i="36"/>
  <c r="Y19" i="36"/>
  <c r="X19" i="36"/>
  <c r="Y18" i="36"/>
  <c r="X18" i="36"/>
  <c r="Y17" i="36"/>
  <c r="D38" i="36"/>
  <c r="Y16" i="36"/>
  <c r="X16" i="36"/>
  <c r="Y15" i="36"/>
  <c r="X15" i="36"/>
  <c r="Y14" i="36"/>
  <c r="Y13" i="36"/>
  <c r="X13" i="36"/>
  <c r="Y12" i="36"/>
  <c r="X12" i="36"/>
  <c r="Y11" i="36"/>
  <c r="X11" i="36"/>
  <c r="Y10" i="36"/>
  <c r="X10" i="36"/>
  <c r="Y9" i="36"/>
  <c r="X9" i="36"/>
  <c r="Y8" i="36"/>
  <c r="X8" i="36"/>
  <c r="Y7" i="36"/>
  <c r="X7" i="36"/>
  <c r="Y6" i="36"/>
  <c r="Y38" i="36" s="1"/>
  <c r="X6" i="36"/>
  <c r="X14" i="35"/>
  <c r="D17" i="35"/>
  <c r="W38" i="35"/>
  <c r="V38" i="35"/>
  <c r="U38" i="35"/>
  <c r="T38" i="35"/>
  <c r="S38" i="35"/>
  <c r="R38" i="35"/>
  <c r="Q38" i="35"/>
  <c r="P38" i="35"/>
  <c r="O38" i="35"/>
  <c r="N38" i="35"/>
  <c r="M38" i="35"/>
  <c r="L38" i="35"/>
  <c r="K38" i="35"/>
  <c r="J38" i="35"/>
  <c r="I38" i="35"/>
  <c r="H38" i="35"/>
  <c r="G38" i="35"/>
  <c r="F38" i="35"/>
  <c r="E38" i="35"/>
  <c r="Y37" i="35"/>
  <c r="X37" i="35"/>
  <c r="Y36" i="35"/>
  <c r="X36" i="35"/>
  <c r="Y35" i="35"/>
  <c r="X35" i="35"/>
  <c r="Y34" i="35"/>
  <c r="X34" i="35"/>
  <c r="Y33" i="35"/>
  <c r="X33" i="35"/>
  <c r="Y32" i="35"/>
  <c r="X32" i="35"/>
  <c r="Y31" i="35"/>
  <c r="X31" i="35"/>
  <c r="D31" i="35"/>
  <c r="Y30" i="35"/>
  <c r="X30" i="35"/>
  <c r="Y29" i="35"/>
  <c r="X29" i="35"/>
  <c r="Y28" i="35"/>
  <c r="X28" i="35"/>
  <c r="Y27" i="35"/>
  <c r="X27" i="35"/>
  <c r="Y26" i="35"/>
  <c r="X26" i="35"/>
  <c r="Y25" i="35"/>
  <c r="X25" i="35"/>
  <c r="Y24" i="35"/>
  <c r="X24" i="35"/>
  <c r="Y23" i="35"/>
  <c r="X23" i="35"/>
  <c r="Y22" i="35"/>
  <c r="X22" i="35"/>
  <c r="Y21" i="35"/>
  <c r="X21" i="35"/>
  <c r="Y20" i="35"/>
  <c r="X20" i="35"/>
  <c r="Y19" i="35"/>
  <c r="X19" i="35"/>
  <c r="Y18" i="35"/>
  <c r="X18" i="35"/>
  <c r="Y17" i="35"/>
  <c r="D38" i="35"/>
  <c r="Y16" i="35"/>
  <c r="X16" i="35"/>
  <c r="Y15" i="35"/>
  <c r="X15" i="35"/>
  <c r="Y14" i="35"/>
  <c r="Y13" i="35"/>
  <c r="X13" i="35"/>
  <c r="Y12" i="35"/>
  <c r="X12" i="35"/>
  <c r="Y11" i="35"/>
  <c r="X11" i="35"/>
  <c r="Y10" i="35"/>
  <c r="X10" i="35"/>
  <c r="Y9" i="35"/>
  <c r="X9" i="35"/>
  <c r="Y8" i="35"/>
  <c r="X8" i="35"/>
  <c r="Y7" i="35"/>
  <c r="X7" i="35"/>
  <c r="Y6" i="35"/>
  <c r="Y38" i="35" s="1"/>
  <c r="X6" i="35"/>
  <c r="X38" i="36" l="1"/>
  <c r="X38" i="35"/>
  <c r="X17" i="35"/>
  <c r="D17" i="34"/>
  <c r="D31" i="34"/>
  <c r="W38" i="34"/>
  <c r="V38" i="34"/>
  <c r="U38" i="34"/>
  <c r="T38" i="34"/>
  <c r="S38" i="34"/>
  <c r="R38" i="34"/>
  <c r="Q38" i="34"/>
  <c r="P38" i="34"/>
  <c r="O38" i="34"/>
  <c r="N38" i="34"/>
  <c r="M38" i="34"/>
  <c r="L38" i="34"/>
  <c r="K38" i="34"/>
  <c r="J38" i="34"/>
  <c r="I38" i="34"/>
  <c r="H38" i="34"/>
  <c r="G38" i="34"/>
  <c r="F38" i="34"/>
  <c r="E38" i="34"/>
  <c r="Y37" i="34"/>
  <c r="X37" i="34"/>
  <c r="Y36" i="34"/>
  <c r="X36" i="34"/>
  <c r="Y35" i="34"/>
  <c r="X35" i="34"/>
  <c r="Y34" i="34"/>
  <c r="X34" i="34"/>
  <c r="Y33" i="34"/>
  <c r="X33" i="34"/>
  <c r="AB32" i="34"/>
  <c r="Y32" i="34"/>
  <c r="X32" i="34"/>
  <c r="AB31" i="34"/>
  <c r="Y31" i="34"/>
  <c r="X31" i="34"/>
  <c r="Y30" i="34"/>
  <c r="X30" i="34"/>
  <c r="Y29" i="34"/>
  <c r="X29" i="34"/>
  <c r="Y28" i="34"/>
  <c r="X28" i="34"/>
  <c r="Y27" i="34"/>
  <c r="X27" i="34"/>
  <c r="Y26" i="34"/>
  <c r="X26" i="34"/>
  <c r="Y25" i="34"/>
  <c r="X25" i="34"/>
  <c r="Y24" i="34"/>
  <c r="X24" i="34"/>
  <c r="Y23" i="34"/>
  <c r="X23" i="34"/>
  <c r="Y22" i="34"/>
  <c r="X22" i="34"/>
  <c r="Y21" i="34"/>
  <c r="X21" i="34"/>
  <c r="Y20" i="34"/>
  <c r="X20" i="34"/>
  <c r="Y19" i="34"/>
  <c r="X19" i="34"/>
  <c r="Y18" i="34"/>
  <c r="X18" i="34"/>
  <c r="Y17" i="34"/>
  <c r="D38" i="34"/>
  <c r="Y16" i="34"/>
  <c r="X16" i="34"/>
  <c r="Y15" i="34"/>
  <c r="X15" i="34"/>
  <c r="Y14" i="34"/>
  <c r="X14" i="34"/>
  <c r="Y13" i="34"/>
  <c r="X13" i="34"/>
  <c r="Y12" i="34"/>
  <c r="X12" i="34"/>
  <c r="Y11" i="34"/>
  <c r="X11" i="34"/>
  <c r="Y10" i="34"/>
  <c r="X10" i="34"/>
  <c r="Y9" i="34"/>
  <c r="X9" i="34"/>
  <c r="Y8" i="34"/>
  <c r="X8" i="34"/>
  <c r="Y7" i="34"/>
  <c r="X7" i="34"/>
  <c r="Y6" i="34"/>
  <c r="Y38" i="34" s="1"/>
  <c r="X6" i="34"/>
  <c r="X38" i="34" l="1"/>
  <c r="X17" i="34"/>
  <c r="Y31" i="33"/>
  <c r="D31" i="33"/>
  <c r="D17" i="33"/>
  <c r="W38" i="33"/>
  <c r="V38" i="33"/>
  <c r="U38" i="33"/>
  <c r="T38" i="33"/>
  <c r="S38" i="33"/>
  <c r="R38" i="33"/>
  <c r="Q38" i="33"/>
  <c r="P38" i="33"/>
  <c r="O38" i="33"/>
  <c r="N38" i="33"/>
  <c r="M38" i="33"/>
  <c r="L38" i="33"/>
  <c r="K38" i="33"/>
  <c r="J38" i="33"/>
  <c r="I38" i="33"/>
  <c r="H38" i="33"/>
  <c r="G38" i="33"/>
  <c r="F38" i="33"/>
  <c r="E38" i="33"/>
  <c r="Y37" i="33"/>
  <c r="X37" i="33"/>
  <c r="Y36" i="33"/>
  <c r="X36" i="33"/>
  <c r="Y35" i="33"/>
  <c r="X35" i="33"/>
  <c r="Y34" i="33"/>
  <c r="X34" i="33"/>
  <c r="Y33" i="33"/>
  <c r="X33" i="33"/>
  <c r="AB32" i="33"/>
  <c r="Y32" i="33"/>
  <c r="X32" i="33"/>
  <c r="AB31" i="33"/>
  <c r="X31" i="33"/>
  <c r="Y30" i="33"/>
  <c r="X30" i="33"/>
  <c r="Y29" i="33"/>
  <c r="X29" i="33"/>
  <c r="Y28" i="33"/>
  <c r="X28" i="33"/>
  <c r="Y27" i="33"/>
  <c r="X27" i="33"/>
  <c r="Y26" i="33"/>
  <c r="X26" i="33"/>
  <c r="Y25" i="33"/>
  <c r="X25" i="33"/>
  <c r="Y24" i="33"/>
  <c r="X24" i="33"/>
  <c r="Y23" i="33"/>
  <c r="X23" i="33"/>
  <c r="Y22" i="33"/>
  <c r="X22" i="33"/>
  <c r="Y21" i="33"/>
  <c r="X21" i="33"/>
  <c r="Y20" i="33"/>
  <c r="X20" i="33"/>
  <c r="Y19" i="33"/>
  <c r="X19" i="33"/>
  <c r="Y18" i="33"/>
  <c r="X18" i="33"/>
  <c r="Y17" i="33"/>
  <c r="X17" i="33"/>
  <c r="X38" i="33" s="1"/>
  <c r="Y16" i="33"/>
  <c r="X16" i="33"/>
  <c r="Y15" i="33"/>
  <c r="X15" i="33"/>
  <c r="Y14" i="33"/>
  <c r="X14" i="33"/>
  <c r="Y13" i="33"/>
  <c r="X13" i="33"/>
  <c r="Y12" i="33"/>
  <c r="X12" i="33"/>
  <c r="Y11" i="33"/>
  <c r="X11" i="33"/>
  <c r="Y10" i="33"/>
  <c r="X10" i="33"/>
  <c r="Y9" i="33"/>
  <c r="X9" i="33"/>
  <c r="Y8" i="33"/>
  <c r="X8" i="33"/>
  <c r="Y7" i="33"/>
  <c r="Y38" i="33" s="1"/>
  <c r="X7" i="33"/>
  <c r="Y6" i="33"/>
  <c r="X6" i="33"/>
  <c r="D38" i="33" l="1"/>
  <c r="D31" i="32"/>
  <c r="X31" i="32" s="1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G38" i="32"/>
  <c r="F38" i="32"/>
  <c r="E38" i="32"/>
  <c r="Y37" i="32"/>
  <c r="X37" i="32"/>
  <c r="Y36" i="32"/>
  <c r="X36" i="32"/>
  <c r="Y35" i="32"/>
  <c r="X35" i="32"/>
  <c r="Y34" i="32"/>
  <c r="X34" i="32"/>
  <c r="Y33" i="32"/>
  <c r="X33" i="32"/>
  <c r="AB32" i="32"/>
  <c r="Y32" i="32"/>
  <c r="X32" i="32"/>
  <c r="AB31" i="32"/>
  <c r="Y30" i="32"/>
  <c r="X30" i="32"/>
  <c r="Y29" i="32"/>
  <c r="X29" i="32"/>
  <c r="Y28" i="32"/>
  <c r="X28" i="32"/>
  <c r="Y27" i="32"/>
  <c r="X27" i="32"/>
  <c r="Y26" i="32"/>
  <c r="X26" i="32"/>
  <c r="Y25" i="32"/>
  <c r="X25" i="32"/>
  <c r="Y24" i="32"/>
  <c r="X24" i="32"/>
  <c r="Y23" i="32"/>
  <c r="X23" i="32"/>
  <c r="Y22" i="32"/>
  <c r="X22" i="32"/>
  <c r="Y21" i="32"/>
  <c r="X21" i="32"/>
  <c r="Y20" i="32"/>
  <c r="X20" i="32"/>
  <c r="Y19" i="32"/>
  <c r="X19" i="32"/>
  <c r="Y18" i="32"/>
  <c r="X18" i="32"/>
  <c r="Y17" i="32"/>
  <c r="Y38" i="32" s="1"/>
  <c r="D17" i="32"/>
  <c r="D38" i="32" s="1"/>
  <c r="Y16" i="32"/>
  <c r="X16" i="32"/>
  <c r="Y15" i="32"/>
  <c r="X15" i="32"/>
  <c r="Y14" i="32"/>
  <c r="Y13" i="32"/>
  <c r="X13" i="32"/>
  <c r="Y12" i="32"/>
  <c r="X12" i="32"/>
  <c r="Y11" i="32"/>
  <c r="X11" i="32"/>
  <c r="Y10" i="32"/>
  <c r="X10" i="32"/>
  <c r="Y9" i="32"/>
  <c r="X9" i="32"/>
  <c r="Y8" i="32"/>
  <c r="X8" i="32"/>
  <c r="Y7" i="32"/>
  <c r="X7" i="32"/>
  <c r="Y6" i="32"/>
  <c r="X6" i="32"/>
  <c r="X17" i="32" l="1"/>
  <c r="X38" i="32" s="1"/>
  <c r="D31" i="31"/>
  <c r="D17" i="31"/>
  <c r="W38" i="31"/>
  <c r="V38" i="31"/>
  <c r="U38" i="31"/>
  <c r="T38" i="31"/>
  <c r="S38" i="31"/>
  <c r="R38" i="31"/>
  <c r="Q38" i="31"/>
  <c r="P38" i="31"/>
  <c r="O38" i="31"/>
  <c r="N38" i="31"/>
  <c r="M38" i="31"/>
  <c r="L38" i="31"/>
  <c r="K38" i="31"/>
  <c r="J38" i="31"/>
  <c r="I38" i="31"/>
  <c r="H38" i="31"/>
  <c r="G38" i="31"/>
  <c r="F38" i="31"/>
  <c r="E38" i="31"/>
  <c r="Y37" i="31"/>
  <c r="X37" i="31"/>
  <c r="Y36" i="31"/>
  <c r="X36" i="31"/>
  <c r="Y35" i="31"/>
  <c r="X35" i="31"/>
  <c r="Y34" i="31"/>
  <c r="X34" i="31"/>
  <c r="Y33" i="31"/>
  <c r="X33" i="31"/>
  <c r="AB32" i="31"/>
  <c r="Y32" i="31"/>
  <c r="X32" i="31"/>
  <c r="AB31" i="31"/>
  <c r="X31" i="31"/>
  <c r="Y30" i="31"/>
  <c r="X30" i="31"/>
  <c r="Y29" i="31"/>
  <c r="X29" i="31"/>
  <c r="Y28" i="31"/>
  <c r="X28" i="31"/>
  <c r="Y27" i="31"/>
  <c r="X27" i="31"/>
  <c r="Y26" i="31"/>
  <c r="X26" i="31"/>
  <c r="Y25" i="31"/>
  <c r="X25" i="31"/>
  <c r="Y24" i="31"/>
  <c r="X24" i="31"/>
  <c r="Y23" i="31"/>
  <c r="X23" i="31"/>
  <c r="Y22" i="31"/>
  <c r="X22" i="31"/>
  <c r="Y21" i="31"/>
  <c r="X21" i="31"/>
  <c r="Y20" i="31"/>
  <c r="X20" i="31"/>
  <c r="Y19" i="31"/>
  <c r="X19" i="31"/>
  <c r="Y18" i="31"/>
  <c r="X18" i="31"/>
  <c r="Y17" i="31"/>
  <c r="D38" i="31"/>
  <c r="Y16" i="31"/>
  <c r="X16" i="31"/>
  <c r="Y15" i="31"/>
  <c r="X15" i="31"/>
  <c r="Y14" i="31"/>
  <c r="X14" i="31"/>
  <c r="Y13" i="31"/>
  <c r="X13" i="31"/>
  <c r="Y12" i="31"/>
  <c r="X12" i="31"/>
  <c r="Y11" i="31"/>
  <c r="X11" i="31"/>
  <c r="Y10" i="31"/>
  <c r="X10" i="31"/>
  <c r="Y9" i="31"/>
  <c r="X9" i="31"/>
  <c r="Y8" i="31"/>
  <c r="X8" i="31"/>
  <c r="Y7" i="31"/>
  <c r="Y38" i="31" s="1"/>
  <c r="X7" i="31"/>
  <c r="Y6" i="31"/>
  <c r="X6" i="31"/>
  <c r="X17" i="31" l="1"/>
  <c r="X38" i="31" s="1"/>
  <c r="D31" i="30"/>
  <c r="D17" i="30"/>
  <c r="W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I38" i="30"/>
  <c r="H38" i="30"/>
  <c r="G38" i="30"/>
  <c r="F38" i="30"/>
  <c r="E38" i="30"/>
  <c r="Y37" i="30"/>
  <c r="X37" i="30"/>
  <c r="Y36" i="30"/>
  <c r="X36" i="30"/>
  <c r="Y35" i="30"/>
  <c r="X35" i="30"/>
  <c r="Y34" i="30"/>
  <c r="X34" i="30"/>
  <c r="Y33" i="30"/>
  <c r="X33" i="30"/>
  <c r="AB32" i="30"/>
  <c r="Y32" i="30"/>
  <c r="X32" i="30"/>
  <c r="AB31" i="30"/>
  <c r="X31" i="30"/>
  <c r="Y30" i="30"/>
  <c r="X30" i="30"/>
  <c r="Y29" i="30"/>
  <c r="X29" i="30"/>
  <c r="Y28" i="30"/>
  <c r="X28" i="30"/>
  <c r="Y27" i="30"/>
  <c r="X27" i="30"/>
  <c r="Y26" i="30"/>
  <c r="X26" i="30"/>
  <c r="Y25" i="30"/>
  <c r="X25" i="30"/>
  <c r="Y24" i="30"/>
  <c r="X24" i="30"/>
  <c r="Y23" i="30"/>
  <c r="X23" i="30"/>
  <c r="Y22" i="30"/>
  <c r="X22" i="30"/>
  <c r="Y21" i="30"/>
  <c r="X21" i="30"/>
  <c r="Y20" i="30"/>
  <c r="X20" i="30"/>
  <c r="Y19" i="30"/>
  <c r="X19" i="30"/>
  <c r="Y18" i="30"/>
  <c r="X18" i="30"/>
  <c r="Y17" i="30"/>
  <c r="D38" i="30"/>
  <c r="Y16" i="30"/>
  <c r="X16" i="30"/>
  <c r="Y15" i="30"/>
  <c r="X15" i="30"/>
  <c r="Y14" i="30"/>
  <c r="X14" i="30"/>
  <c r="Y13" i="30"/>
  <c r="X13" i="30"/>
  <c r="Y12" i="30"/>
  <c r="X12" i="30"/>
  <c r="Y11" i="30"/>
  <c r="X11" i="30"/>
  <c r="Y10" i="30"/>
  <c r="X10" i="30"/>
  <c r="Y9" i="30"/>
  <c r="X9" i="30"/>
  <c r="Y8" i="30"/>
  <c r="X8" i="30"/>
  <c r="Y7" i="30"/>
  <c r="X7" i="30"/>
  <c r="Y6" i="30"/>
  <c r="Y38" i="30" s="1"/>
  <c r="X6" i="30"/>
  <c r="X38" i="30" l="1"/>
  <c r="X17" i="30"/>
  <c r="D31" i="29"/>
  <c r="AB32" i="29"/>
  <c r="AB31" i="29"/>
  <c r="X31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K38" i="29"/>
  <c r="J38" i="29"/>
  <c r="I38" i="29"/>
  <c r="H38" i="29"/>
  <c r="G38" i="29"/>
  <c r="F38" i="29"/>
  <c r="E38" i="29"/>
  <c r="Y37" i="29"/>
  <c r="X37" i="29"/>
  <c r="Y36" i="29"/>
  <c r="X36" i="29"/>
  <c r="Y35" i="29"/>
  <c r="X35" i="29"/>
  <c r="Y34" i="29"/>
  <c r="X34" i="29"/>
  <c r="Y33" i="29"/>
  <c r="X33" i="29"/>
  <c r="Y32" i="29"/>
  <c r="X32" i="29"/>
  <c r="Y30" i="29"/>
  <c r="X30" i="29"/>
  <c r="Y29" i="29"/>
  <c r="X29" i="29"/>
  <c r="Y28" i="29"/>
  <c r="X28" i="29"/>
  <c r="Y27" i="29"/>
  <c r="X27" i="29"/>
  <c r="Y26" i="29"/>
  <c r="X26" i="29"/>
  <c r="Y25" i="29"/>
  <c r="X25" i="29"/>
  <c r="Y24" i="29"/>
  <c r="X24" i="29"/>
  <c r="Y23" i="29"/>
  <c r="X23" i="29"/>
  <c r="Y22" i="29"/>
  <c r="X22" i="29"/>
  <c r="Y21" i="29"/>
  <c r="X21" i="29"/>
  <c r="Y20" i="29"/>
  <c r="X20" i="29"/>
  <c r="Y19" i="29"/>
  <c r="X19" i="29"/>
  <c r="Y18" i="29"/>
  <c r="X18" i="29"/>
  <c r="Y17" i="29"/>
  <c r="X17" i="29"/>
  <c r="D17" i="29"/>
  <c r="D38" i="29" s="1"/>
  <c r="Y16" i="29"/>
  <c r="X16" i="29"/>
  <c r="Y15" i="29"/>
  <c r="X15" i="29"/>
  <c r="Y14" i="29"/>
  <c r="X14" i="29"/>
  <c r="Y13" i="29"/>
  <c r="X13" i="29"/>
  <c r="Y12" i="29"/>
  <c r="X12" i="29"/>
  <c r="Y11" i="29"/>
  <c r="X11" i="29"/>
  <c r="Y10" i="29"/>
  <c r="X10" i="29"/>
  <c r="Y9" i="29"/>
  <c r="X9" i="29"/>
  <c r="Y8" i="29"/>
  <c r="X8" i="29"/>
  <c r="Y7" i="29"/>
  <c r="X7" i="29"/>
  <c r="Y6" i="29"/>
  <c r="Y38" i="29" s="1"/>
  <c r="X6" i="29"/>
  <c r="X38" i="29" l="1"/>
  <c r="D31" i="28"/>
  <c r="D17" i="28"/>
  <c r="Y6" i="28"/>
  <c r="Y7" i="28"/>
  <c r="Y8" i="28"/>
  <c r="Y9" i="28"/>
  <c r="Y10" i="28"/>
  <c r="Y11" i="28"/>
  <c r="Y12" i="28"/>
  <c r="Y13" i="28"/>
  <c r="Y14" i="28"/>
  <c r="Y15" i="28"/>
  <c r="Y16" i="28"/>
  <c r="Y17" i="28"/>
  <c r="Y18" i="28"/>
  <c r="Y19" i="28"/>
  <c r="Y20" i="28"/>
  <c r="Y21" i="28"/>
  <c r="Y22" i="28"/>
  <c r="Y23" i="28"/>
  <c r="Y24" i="28"/>
  <c r="Y25" i="28"/>
  <c r="Y26" i="28"/>
  <c r="Y27" i="28"/>
  <c r="Y28" i="28"/>
  <c r="Y29" i="28"/>
  <c r="Y30" i="28"/>
  <c r="Y32" i="28"/>
  <c r="Y33" i="28"/>
  <c r="Y34" i="28"/>
  <c r="Y35" i="28"/>
  <c r="Y36" i="28"/>
  <c r="Y37" i="28"/>
  <c r="Y38" i="28"/>
  <c r="X6" i="28"/>
  <c r="X7" i="28"/>
  <c r="X8" i="28"/>
  <c r="X9" i="28"/>
  <c r="X10" i="28"/>
  <c r="X11" i="28"/>
  <c r="X12" i="28"/>
  <c r="X13" i="28"/>
  <c r="X14" i="28"/>
  <c r="X15" i="28"/>
  <c r="X16" i="28"/>
  <c r="X17" i="28"/>
  <c r="X18" i="28"/>
  <c r="X19" i="28"/>
  <c r="X20" i="28"/>
  <c r="X21" i="28"/>
  <c r="X22" i="28"/>
  <c r="X23" i="28"/>
  <c r="X24" i="28"/>
  <c r="X25" i="28"/>
  <c r="X26" i="28"/>
  <c r="X27" i="28"/>
  <c r="X28" i="28"/>
  <c r="X29" i="28"/>
  <c r="X30" i="28"/>
  <c r="X31" i="28"/>
  <c r="X32" i="28"/>
  <c r="X33" i="28"/>
  <c r="X34" i="28"/>
  <c r="X35" i="28"/>
  <c r="X36" i="28"/>
  <c r="X37" i="28"/>
  <c r="X38" i="28"/>
  <c r="W38" i="28"/>
  <c r="V38" i="28"/>
  <c r="U38" i="28"/>
  <c r="T38" i="28"/>
  <c r="S38" i="28"/>
  <c r="R38" i="28"/>
  <c r="Q38" i="28"/>
  <c r="P38" i="28"/>
  <c r="O38" i="28"/>
  <c r="N38" i="28"/>
  <c r="M38" i="28"/>
  <c r="L38" i="28"/>
  <c r="K38" i="28"/>
  <c r="J38" i="28"/>
  <c r="I38" i="28"/>
  <c r="H38" i="28"/>
  <c r="G38" i="28"/>
  <c r="F38" i="28"/>
  <c r="E38" i="28"/>
  <c r="D38" i="28"/>
  <c r="D31" i="26"/>
  <c r="D17" i="26"/>
  <c r="AA31" i="26"/>
  <c r="X31" i="27"/>
  <c r="X14" i="27"/>
  <c r="Y31" i="27"/>
  <c r="X17" i="27"/>
  <c r="Y17" i="27"/>
  <c r="W38" i="27"/>
  <c r="V38" i="27"/>
  <c r="U38" i="27"/>
  <c r="T38" i="27"/>
  <c r="S38" i="27"/>
  <c r="R38" i="27"/>
  <c r="Q38" i="27"/>
  <c r="P38" i="27"/>
  <c r="O38" i="27"/>
  <c r="N38" i="27"/>
  <c r="M38" i="27"/>
  <c r="L38" i="27"/>
  <c r="K38" i="27"/>
  <c r="J38" i="27"/>
  <c r="I38" i="27"/>
  <c r="H38" i="27"/>
  <c r="G38" i="27"/>
  <c r="F38" i="27"/>
  <c r="E38" i="27"/>
  <c r="Y37" i="27"/>
  <c r="X37" i="27"/>
  <c r="Y36" i="27"/>
  <c r="X36" i="27"/>
  <c r="Y35" i="27"/>
  <c r="X35" i="27"/>
  <c r="Y34" i="27"/>
  <c r="X34" i="27"/>
  <c r="Y33" i="27"/>
  <c r="X33" i="27"/>
  <c r="Y32" i="27"/>
  <c r="X32" i="27"/>
  <c r="Y30" i="27"/>
  <c r="X30" i="27"/>
  <c r="Y29" i="27"/>
  <c r="X29" i="27"/>
  <c r="Y28" i="27"/>
  <c r="X28" i="27"/>
  <c r="Y27" i="27"/>
  <c r="X27" i="27"/>
  <c r="Y26" i="27"/>
  <c r="X26" i="27"/>
  <c r="Y25" i="27"/>
  <c r="X25" i="27"/>
  <c r="Y24" i="27"/>
  <c r="X24" i="27"/>
  <c r="Y23" i="27"/>
  <c r="X23" i="27"/>
  <c r="Y22" i="27"/>
  <c r="X22" i="27"/>
  <c r="Y21" i="27"/>
  <c r="X21" i="27"/>
  <c r="Y20" i="27"/>
  <c r="X20" i="27"/>
  <c r="Y19" i="27"/>
  <c r="X19" i="27"/>
  <c r="Y18" i="27"/>
  <c r="X18" i="27"/>
  <c r="Y16" i="27"/>
  <c r="X16" i="27"/>
  <c r="Y15" i="27"/>
  <c r="X15" i="27"/>
  <c r="Y14" i="27"/>
  <c r="Y13" i="27"/>
  <c r="X13" i="27"/>
  <c r="Y12" i="27"/>
  <c r="X12" i="27"/>
  <c r="Y11" i="27"/>
  <c r="X11" i="27"/>
  <c r="Y10" i="27"/>
  <c r="X10" i="27"/>
  <c r="Y9" i="27"/>
  <c r="X9" i="27"/>
  <c r="Y8" i="27"/>
  <c r="X8" i="27"/>
  <c r="Y7" i="27"/>
  <c r="X7" i="27"/>
  <c r="Y6" i="27"/>
  <c r="Y38" i="27"/>
  <c r="X6" i="27"/>
  <c r="X38" i="27"/>
  <c r="D38" i="27"/>
  <c r="X31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J38" i="26"/>
  <c r="I38" i="26"/>
  <c r="H38" i="26"/>
  <c r="G38" i="26"/>
  <c r="F38" i="26"/>
  <c r="E38" i="26"/>
  <c r="Y37" i="26"/>
  <c r="X37" i="26"/>
  <c r="Y36" i="26"/>
  <c r="X36" i="26"/>
  <c r="Y35" i="26"/>
  <c r="X35" i="26"/>
  <c r="Y34" i="26"/>
  <c r="X34" i="26"/>
  <c r="Y33" i="26"/>
  <c r="X33" i="26"/>
  <c r="Y32" i="26"/>
  <c r="X32" i="26"/>
  <c r="Y30" i="26"/>
  <c r="X30" i="26"/>
  <c r="Y29" i="26"/>
  <c r="X29" i="26"/>
  <c r="Y28" i="26"/>
  <c r="X28" i="26"/>
  <c r="Y27" i="26"/>
  <c r="X27" i="26"/>
  <c r="Y26" i="26"/>
  <c r="X26" i="26"/>
  <c r="Y25" i="26"/>
  <c r="X25" i="26"/>
  <c r="Y24" i="26"/>
  <c r="X24" i="26"/>
  <c r="Y23" i="26"/>
  <c r="X23" i="26"/>
  <c r="Y22" i="26"/>
  <c r="X22" i="26"/>
  <c r="Y21" i="26"/>
  <c r="X21" i="26"/>
  <c r="Y20" i="26"/>
  <c r="X20" i="26"/>
  <c r="Y19" i="26"/>
  <c r="X19" i="26"/>
  <c r="Y18" i="26"/>
  <c r="X18" i="26"/>
  <c r="Y17" i="26"/>
  <c r="X17" i="26"/>
  <c r="Y16" i="26"/>
  <c r="X16" i="26"/>
  <c r="Y15" i="26"/>
  <c r="X15" i="26"/>
  <c r="Y14" i="26"/>
  <c r="X14" i="26"/>
  <c r="Y13" i="26"/>
  <c r="X13" i="26"/>
  <c r="Y12" i="26"/>
  <c r="X12" i="26"/>
  <c r="Y11" i="26"/>
  <c r="X11" i="26"/>
  <c r="Y10" i="26"/>
  <c r="X10" i="26"/>
  <c r="Y9" i="26"/>
  <c r="X9" i="26"/>
  <c r="Y8" i="26"/>
  <c r="X8" i="26"/>
  <c r="Y7" i="26"/>
  <c r="X7" i="26"/>
  <c r="Y6" i="26"/>
  <c r="Y38" i="26"/>
  <c r="X6" i="26"/>
  <c r="X38" i="26"/>
  <c r="D38" i="26"/>
  <c r="D38" i="25"/>
  <c r="D31" i="25"/>
  <c r="D17" i="25"/>
  <c r="AA31" i="25"/>
  <c r="X31" i="25"/>
  <c r="W38" i="25"/>
  <c r="V38" i="25"/>
  <c r="U38" i="25"/>
  <c r="T38" i="25"/>
  <c r="S38" i="25"/>
  <c r="R38" i="25"/>
  <c r="Q38" i="25"/>
  <c r="P38" i="25"/>
  <c r="O38" i="25"/>
  <c r="N38" i="25"/>
  <c r="M38" i="25"/>
  <c r="L38" i="25"/>
  <c r="K38" i="25"/>
  <c r="J38" i="25"/>
  <c r="I38" i="25"/>
  <c r="H38" i="25"/>
  <c r="G38" i="25"/>
  <c r="F38" i="25"/>
  <c r="E38" i="25"/>
  <c r="Y37" i="25"/>
  <c r="X37" i="25"/>
  <c r="Y36" i="25"/>
  <c r="X36" i="25"/>
  <c r="Y35" i="25"/>
  <c r="X35" i="25"/>
  <c r="Y34" i="25"/>
  <c r="X34" i="25"/>
  <c r="Y33" i="25"/>
  <c r="X33" i="25"/>
  <c r="Y32" i="25"/>
  <c r="X32" i="25"/>
  <c r="Y30" i="25"/>
  <c r="X30" i="25"/>
  <c r="Y29" i="25"/>
  <c r="X29" i="25"/>
  <c r="Y28" i="25"/>
  <c r="X28" i="25"/>
  <c r="Y27" i="25"/>
  <c r="X27" i="25"/>
  <c r="Y26" i="25"/>
  <c r="X26" i="25"/>
  <c r="Y25" i="25"/>
  <c r="X25" i="25"/>
  <c r="Y24" i="25"/>
  <c r="X24" i="25"/>
  <c r="Y23" i="25"/>
  <c r="X23" i="25"/>
  <c r="Y22" i="25"/>
  <c r="X22" i="25"/>
  <c r="Y21" i="25"/>
  <c r="X21" i="25"/>
  <c r="Y20" i="25"/>
  <c r="X20" i="25"/>
  <c r="Y19" i="25"/>
  <c r="X19" i="25"/>
  <c r="Y18" i="25"/>
  <c r="X18" i="25"/>
  <c r="Y17" i="25"/>
  <c r="X17" i="25"/>
  <c r="Y16" i="25"/>
  <c r="X16" i="25"/>
  <c r="Y15" i="25"/>
  <c r="X15" i="25"/>
  <c r="Y14" i="25"/>
  <c r="X14" i="25"/>
  <c r="Y13" i="25"/>
  <c r="X13" i="25"/>
  <c r="Y12" i="25"/>
  <c r="X12" i="25"/>
  <c r="Y11" i="25"/>
  <c r="X11" i="25"/>
  <c r="Y10" i="25"/>
  <c r="X10" i="25"/>
  <c r="Y9" i="25"/>
  <c r="X9" i="25"/>
  <c r="Y8" i="25"/>
  <c r="X8" i="25"/>
  <c r="Y7" i="25"/>
  <c r="Y38" i="25"/>
  <c r="X7" i="25"/>
  <c r="Y6" i="25"/>
  <c r="X6" i="25"/>
  <c r="X38" i="25"/>
  <c r="D17" i="24"/>
  <c r="D31" i="24"/>
  <c r="X31" i="24"/>
  <c r="AA31" i="24"/>
  <c r="W38" i="24"/>
  <c r="V38" i="24"/>
  <c r="U38" i="24"/>
  <c r="T38" i="24"/>
  <c r="S38" i="24"/>
  <c r="R38" i="24"/>
  <c r="Q38" i="24"/>
  <c r="P38" i="24"/>
  <c r="O38" i="24"/>
  <c r="N38" i="24"/>
  <c r="M38" i="24"/>
  <c r="L38" i="24"/>
  <c r="K38" i="24"/>
  <c r="J38" i="24"/>
  <c r="I38" i="24"/>
  <c r="H38" i="24"/>
  <c r="G38" i="24"/>
  <c r="F38" i="24"/>
  <c r="E38" i="24"/>
  <c r="Y37" i="24"/>
  <c r="X37" i="24"/>
  <c r="Y36" i="24"/>
  <c r="X36" i="24"/>
  <c r="Y35" i="24"/>
  <c r="X35" i="24"/>
  <c r="Y34" i="24"/>
  <c r="X34" i="24"/>
  <c r="Y33" i="24"/>
  <c r="X33" i="24"/>
  <c r="Y32" i="24"/>
  <c r="X32" i="24"/>
  <c r="Y30" i="24"/>
  <c r="X30" i="24"/>
  <c r="Y29" i="24"/>
  <c r="X29" i="24"/>
  <c r="Y28" i="24"/>
  <c r="X28" i="24"/>
  <c r="Y27" i="24"/>
  <c r="X27" i="24"/>
  <c r="Y26" i="24"/>
  <c r="X26" i="24"/>
  <c r="Y25" i="24"/>
  <c r="X25" i="24"/>
  <c r="Y24" i="24"/>
  <c r="X24" i="24"/>
  <c r="Y23" i="24"/>
  <c r="X23" i="24"/>
  <c r="Y22" i="24"/>
  <c r="X22" i="24"/>
  <c r="Y21" i="24"/>
  <c r="X21" i="24"/>
  <c r="Y20" i="24"/>
  <c r="X20" i="24"/>
  <c r="Y19" i="24"/>
  <c r="X19" i="24"/>
  <c r="Y18" i="24"/>
  <c r="X18" i="24"/>
  <c r="Y17" i="24"/>
  <c r="X17" i="24"/>
  <c r="Y16" i="24"/>
  <c r="X16" i="24"/>
  <c r="Y15" i="24"/>
  <c r="X15" i="24"/>
  <c r="Y14" i="24"/>
  <c r="X14" i="24"/>
  <c r="Y13" i="24"/>
  <c r="X13" i="24"/>
  <c r="Y12" i="24"/>
  <c r="X12" i="24"/>
  <c r="Y11" i="24"/>
  <c r="X11" i="24"/>
  <c r="Y10" i="24"/>
  <c r="X10" i="24"/>
  <c r="Y9" i="24"/>
  <c r="X9" i="24"/>
  <c r="Y8" i="24"/>
  <c r="X8" i="24"/>
  <c r="Y7" i="24"/>
  <c r="X7" i="24"/>
  <c r="Y6" i="24"/>
  <c r="Y38" i="24"/>
  <c r="X6" i="24"/>
  <c r="AA31" i="23"/>
  <c r="D31" i="23"/>
  <c r="D17" i="23"/>
  <c r="X38" i="24"/>
  <c r="D38" i="24"/>
  <c r="X31" i="23"/>
  <c r="W38" i="23"/>
  <c r="V38" i="23"/>
  <c r="U38" i="23"/>
  <c r="T38" i="23"/>
  <c r="S38" i="23"/>
  <c r="R38" i="23"/>
  <c r="Q38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Y37" i="23"/>
  <c r="X37" i="23"/>
  <c r="Y36" i="23"/>
  <c r="X36" i="23"/>
  <c r="Y35" i="23"/>
  <c r="X35" i="23"/>
  <c r="Y34" i="23"/>
  <c r="X34" i="23"/>
  <c r="Y33" i="23"/>
  <c r="X33" i="23"/>
  <c r="Y32" i="23"/>
  <c r="X32" i="23"/>
  <c r="Y30" i="23"/>
  <c r="X30" i="23"/>
  <c r="Y29" i="23"/>
  <c r="X29" i="23"/>
  <c r="Y28" i="23"/>
  <c r="X28" i="23"/>
  <c r="Y27" i="23"/>
  <c r="X27" i="23"/>
  <c r="Y26" i="23"/>
  <c r="X26" i="23"/>
  <c r="Y25" i="23"/>
  <c r="X25" i="23"/>
  <c r="Y24" i="23"/>
  <c r="X24" i="23"/>
  <c r="Y23" i="23"/>
  <c r="X23" i="23"/>
  <c r="Y22" i="23"/>
  <c r="X22" i="23"/>
  <c r="Y21" i="23"/>
  <c r="X21" i="23"/>
  <c r="Y20" i="23"/>
  <c r="X20" i="23"/>
  <c r="Y19" i="23"/>
  <c r="X19" i="23"/>
  <c r="Y18" i="23"/>
  <c r="X18" i="23"/>
  <c r="Y17" i="23"/>
  <c r="X17" i="23"/>
  <c r="D38" i="23"/>
  <c r="Y16" i="23"/>
  <c r="X16" i="23"/>
  <c r="Y15" i="23"/>
  <c r="X15" i="23"/>
  <c r="Y14" i="23"/>
  <c r="X14" i="23"/>
  <c r="Y13" i="23"/>
  <c r="X13" i="23"/>
  <c r="Y12" i="23"/>
  <c r="X12" i="23"/>
  <c r="Y11" i="23"/>
  <c r="X11" i="23"/>
  <c r="Y10" i="23"/>
  <c r="X10" i="23"/>
  <c r="Y9" i="23"/>
  <c r="X9" i="23"/>
  <c r="Y8" i="23"/>
  <c r="X8" i="23"/>
  <c r="Y7" i="23"/>
  <c r="X7" i="23"/>
  <c r="Y6" i="23"/>
  <c r="Y38" i="23"/>
  <c r="X6" i="23"/>
  <c r="X38" i="23"/>
  <c r="D17" i="22"/>
  <c r="X17" i="22"/>
  <c r="D31" i="22"/>
  <c r="X31" i="22"/>
  <c r="W38" i="22"/>
  <c r="V38" i="22"/>
  <c r="U38" i="22"/>
  <c r="T38" i="22"/>
  <c r="S38" i="22"/>
  <c r="R38" i="22"/>
  <c r="Q38" i="22"/>
  <c r="P38" i="22"/>
  <c r="O38" i="22"/>
  <c r="N38" i="22"/>
  <c r="M38" i="22"/>
  <c r="L38" i="22"/>
  <c r="K38" i="22"/>
  <c r="J38" i="22"/>
  <c r="I38" i="22"/>
  <c r="H38" i="22"/>
  <c r="G38" i="22"/>
  <c r="F38" i="22"/>
  <c r="E38" i="22"/>
  <c r="Y37" i="22"/>
  <c r="X37" i="22"/>
  <c r="Y36" i="22"/>
  <c r="X36" i="22"/>
  <c r="Y35" i="22"/>
  <c r="X35" i="22"/>
  <c r="Y34" i="22"/>
  <c r="X34" i="22"/>
  <c r="Y33" i="22"/>
  <c r="X33" i="22"/>
  <c r="Y32" i="22"/>
  <c r="X32" i="22"/>
  <c r="AB31" i="22"/>
  <c r="Y30" i="22"/>
  <c r="X30" i="22"/>
  <c r="Y29" i="22"/>
  <c r="X29" i="22"/>
  <c r="Y28" i="22"/>
  <c r="X28" i="22"/>
  <c r="Y27" i="22"/>
  <c r="X27" i="22"/>
  <c r="Y26" i="22"/>
  <c r="X26" i="22"/>
  <c r="Y25" i="22"/>
  <c r="X25" i="22"/>
  <c r="Y24" i="22"/>
  <c r="X24" i="22"/>
  <c r="Y23" i="22"/>
  <c r="X23" i="22"/>
  <c r="Y22" i="22"/>
  <c r="X22" i="22"/>
  <c r="Y21" i="22"/>
  <c r="X21" i="22"/>
  <c r="Y20" i="22"/>
  <c r="X20" i="22"/>
  <c r="Y19" i="22"/>
  <c r="X19" i="22"/>
  <c r="Y18" i="22"/>
  <c r="X18" i="22"/>
  <c r="Y17" i="22"/>
  <c r="D38" i="22"/>
  <c r="Y16" i="22"/>
  <c r="X16" i="22"/>
  <c r="Y15" i="22"/>
  <c r="X15" i="22"/>
  <c r="Y14" i="22"/>
  <c r="X14" i="22"/>
  <c r="Y13" i="22"/>
  <c r="X13" i="22"/>
  <c r="Y12" i="22"/>
  <c r="X12" i="22"/>
  <c r="Y11" i="22"/>
  <c r="X11" i="22"/>
  <c r="Y10" i="22"/>
  <c r="X10" i="22"/>
  <c r="Y9" i="22"/>
  <c r="X9" i="22"/>
  <c r="Y8" i="22"/>
  <c r="X8" i="22"/>
  <c r="Y7" i="22"/>
  <c r="X7" i="22"/>
  <c r="Y6" i="22"/>
  <c r="Y38" i="22"/>
  <c r="X6" i="22"/>
  <c r="X38" i="22"/>
  <c r="AE31" i="21"/>
  <c r="AD31" i="21"/>
  <c r="AC31" i="21"/>
  <c r="D38" i="21"/>
  <c r="D31" i="21"/>
  <c r="X31" i="21"/>
  <c r="D17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Y37" i="21"/>
  <c r="X37" i="21"/>
  <c r="Y36" i="21"/>
  <c r="X36" i="21"/>
  <c r="Y35" i="21"/>
  <c r="X35" i="21"/>
  <c r="Y34" i="21"/>
  <c r="X34" i="21"/>
  <c r="Y33" i="21"/>
  <c r="X33" i="21"/>
  <c r="Y32" i="21"/>
  <c r="X32" i="21"/>
  <c r="AB31" i="21"/>
  <c r="Y30" i="21"/>
  <c r="X30" i="21"/>
  <c r="Y29" i="21"/>
  <c r="X29" i="21"/>
  <c r="Y28" i="21"/>
  <c r="X28" i="21"/>
  <c r="Y27" i="21"/>
  <c r="X27" i="21"/>
  <c r="Y26" i="21"/>
  <c r="X26" i="21"/>
  <c r="Y25" i="21"/>
  <c r="X25" i="21"/>
  <c r="Y24" i="21"/>
  <c r="X24" i="21"/>
  <c r="Y23" i="21"/>
  <c r="X23" i="21"/>
  <c r="Y22" i="21"/>
  <c r="X22" i="21"/>
  <c r="Y21" i="21"/>
  <c r="X21" i="21"/>
  <c r="Y20" i="21"/>
  <c r="X20" i="21"/>
  <c r="Y19" i="21"/>
  <c r="X19" i="21"/>
  <c r="Y18" i="21"/>
  <c r="X18" i="21"/>
  <c r="Y17" i="21"/>
  <c r="Y16" i="21"/>
  <c r="X16" i="21"/>
  <c r="Y15" i="21"/>
  <c r="X15" i="21"/>
  <c r="Y14" i="21"/>
  <c r="X14" i="21"/>
  <c r="Y13" i="21"/>
  <c r="X13" i="21"/>
  <c r="Y12" i="21"/>
  <c r="X12" i="21"/>
  <c r="Y11" i="21"/>
  <c r="X11" i="21"/>
  <c r="Y10" i="21"/>
  <c r="X10" i="21"/>
  <c r="Y9" i="21"/>
  <c r="X9" i="21"/>
  <c r="Y8" i="21"/>
  <c r="X8" i="21"/>
  <c r="Y7" i="21"/>
  <c r="X7" i="21"/>
  <c r="Y6" i="21"/>
  <c r="Y38" i="21"/>
  <c r="X6" i="21"/>
  <c r="X17" i="21"/>
  <c r="X38" i="21"/>
  <c r="AB31" i="20"/>
  <c r="D31" i="20"/>
  <c r="D31" i="19"/>
  <c r="D17" i="19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D38" i="20"/>
  <c r="Y37" i="20"/>
  <c r="X37" i="20"/>
  <c r="Y36" i="20"/>
  <c r="X36" i="20"/>
  <c r="Y35" i="20"/>
  <c r="X35" i="20"/>
  <c r="Y34" i="20"/>
  <c r="X34" i="20"/>
  <c r="Y33" i="20"/>
  <c r="X33" i="20"/>
  <c r="Y32" i="20"/>
  <c r="X32" i="20"/>
  <c r="X31" i="20"/>
  <c r="Y30" i="20"/>
  <c r="X30" i="20"/>
  <c r="Y29" i="20"/>
  <c r="X29" i="20"/>
  <c r="Y28" i="20"/>
  <c r="X28" i="20"/>
  <c r="Y27" i="20"/>
  <c r="X27" i="20"/>
  <c r="Y26" i="20"/>
  <c r="X26" i="20"/>
  <c r="Y25" i="20"/>
  <c r="X25" i="20"/>
  <c r="Y24" i="20"/>
  <c r="X24" i="20"/>
  <c r="Y23" i="20"/>
  <c r="X23" i="20"/>
  <c r="Y22" i="20"/>
  <c r="X22" i="20"/>
  <c r="Y21" i="20"/>
  <c r="X21" i="20"/>
  <c r="Y20" i="20"/>
  <c r="X20" i="20"/>
  <c r="Y19" i="20"/>
  <c r="X19" i="20"/>
  <c r="Y18" i="20"/>
  <c r="X18" i="20"/>
  <c r="Y17" i="20"/>
  <c r="D17" i="20"/>
  <c r="X17" i="20"/>
  <c r="X38" i="20"/>
  <c r="Y16" i="20"/>
  <c r="X16" i="20"/>
  <c r="Y15" i="20"/>
  <c r="X15" i="20"/>
  <c r="Y14" i="20"/>
  <c r="X14" i="20"/>
  <c r="Y13" i="20"/>
  <c r="X13" i="20"/>
  <c r="Y12" i="20"/>
  <c r="X12" i="20"/>
  <c r="Y11" i="20"/>
  <c r="X11" i="20"/>
  <c r="Y10" i="20"/>
  <c r="X10" i="20"/>
  <c r="Y9" i="20"/>
  <c r="X9" i="20"/>
  <c r="Y8" i="20"/>
  <c r="X8" i="20"/>
  <c r="Y7" i="20"/>
  <c r="X7" i="20"/>
  <c r="Y6" i="20"/>
  <c r="Y38" i="20"/>
  <c r="X6" i="20"/>
  <c r="D38" i="19"/>
  <c r="X31" i="19"/>
  <c r="W38" i="19"/>
  <c r="V38" i="19"/>
  <c r="U38" i="19"/>
  <c r="T38" i="19"/>
  <c r="S38" i="19"/>
  <c r="R38" i="19"/>
  <c r="Q38" i="19"/>
  <c r="P38" i="19"/>
  <c r="O38" i="19"/>
  <c r="N38" i="19"/>
  <c r="M38" i="19"/>
  <c r="L38" i="19"/>
  <c r="K38" i="19"/>
  <c r="J38" i="19"/>
  <c r="I38" i="19"/>
  <c r="H38" i="19"/>
  <c r="G38" i="19"/>
  <c r="F38" i="19"/>
  <c r="E38" i="19"/>
  <c r="Y37" i="19"/>
  <c r="X37" i="19"/>
  <c r="Y36" i="19"/>
  <c r="X36" i="19"/>
  <c r="Y35" i="19"/>
  <c r="X35" i="19"/>
  <c r="Y34" i="19"/>
  <c r="X34" i="19"/>
  <c r="Y33" i="19"/>
  <c r="X33" i="19"/>
  <c r="Y32" i="19"/>
  <c r="X32" i="19"/>
  <c r="Y30" i="19"/>
  <c r="X30" i="19"/>
  <c r="Y29" i="19"/>
  <c r="X29" i="19"/>
  <c r="Y28" i="19"/>
  <c r="X28" i="19"/>
  <c r="Y27" i="19"/>
  <c r="X27" i="19"/>
  <c r="Y26" i="19"/>
  <c r="X26" i="19"/>
  <c r="Y25" i="19"/>
  <c r="X25" i="19"/>
  <c r="Y24" i="19"/>
  <c r="X24" i="19"/>
  <c r="Y23" i="19"/>
  <c r="X23" i="19"/>
  <c r="Y22" i="19"/>
  <c r="X22" i="19"/>
  <c r="Y21" i="19"/>
  <c r="X21" i="19"/>
  <c r="Y20" i="19"/>
  <c r="X20" i="19"/>
  <c r="Y19" i="19"/>
  <c r="X19" i="19"/>
  <c r="Y18" i="19"/>
  <c r="Y38" i="19"/>
  <c r="X18" i="19"/>
  <c r="Y17" i="19"/>
  <c r="Y16" i="19"/>
  <c r="X16" i="19"/>
  <c r="Y15" i="19"/>
  <c r="X15" i="19"/>
  <c r="Y14" i="19"/>
  <c r="X14" i="19"/>
  <c r="Y13" i="19"/>
  <c r="X13" i="19"/>
  <c r="Y12" i="19"/>
  <c r="X12" i="19"/>
  <c r="Y11" i="19"/>
  <c r="X11" i="19"/>
  <c r="Y10" i="19"/>
  <c r="X10" i="19"/>
  <c r="Y9" i="19"/>
  <c r="X9" i="19"/>
  <c r="Y8" i="19"/>
  <c r="X8" i="19"/>
  <c r="Y7" i="19"/>
  <c r="X7" i="19"/>
  <c r="Y6" i="19"/>
  <c r="X6" i="19"/>
  <c r="X38" i="19"/>
  <c r="X17" i="19"/>
  <c r="X38" i="18"/>
  <c r="D31" i="18"/>
  <c r="D17" i="18"/>
  <c r="Y38" i="18"/>
  <c r="W38" i="18"/>
  <c r="V38" i="18"/>
  <c r="U38" i="18"/>
  <c r="T38" i="18"/>
  <c r="S38" i="18"/>
  <c r="R38" i="18"/>
  <c r="Q38" i="18"/>
  <c r="P38" i="18"/>
  <c r="O38" i="18"/>
  <c r="N38" i="18"/>
  <c r="M38" i="18"/>
  <c r="L38" i="18"/>
  <c r="K38" i="18"/>
  <c r="J38" i="18"/>
  <c r="I38" i="18"/>
  <c r="H38" i="18"/>
  <c r="G38" i="18"/>
  <c r="F38" i="18"/>
  <c r="E38" i="18"/>
  <c r="D38" i="18"/>
  <c r="Y37" i="18"/>
  <c r="X37" i="18"/>
  <c r="Y36" i="18"/>
  <c r="X36" i="18"/>
  <c r="Y35" i="18"/>
  <c r="X35" i="18"/>
  <c r="Y34" i="18"/>
  <c r="X34" i="18"/>
  <c r="Y33" i="18"/>
  <c r="X33" i="18"/>
  <c r="Y32" i="18"/>
  <c r="X32" i="18"/>
  <c r="X31" i="18"/>
  <c r="Y30" i="18"/>
  <c r="X30" i="18"/>
  <c r="Y29" i="18"/>
  <c r="X29" i="18"/>
  <c r="Y28" i="18"/>
  <c r="X28" i="18"/>
  <c r="Y27" i="18"/>
  <c r="X27" i="18"/>
  <c r="Y26" i="18"/>
  <c r="X26" i="18"/>
  <c r="Y25" i="18"/>
  <c r="X25" i="18"/>
  <c r="Y24" i="18"/>
  <c r="X24" i="18"/>
  <c r="Y23" i="18"/>
  <c r="X23" i="18"/>
  <c r="Y22" i="18"/>
  <c r="X22" i="18"/>
  <c r="Y21" i="18"/>
  <c r="X21" i="18"/>
  <c r="Y20" i="18"/>
  <c r="X20" i="18"/>
  <c r="Y19" i="18"/>
  <c r="X19" i="18"/>
  <c r="Y18" i="18"/>
  <c r="X18" i="18"/>
  <c r="Y17" i="18"/>
  <c r="X17" i="18"/>
  <c r="Y16" i="18"/>
  <c r="X16" i="18"/>
  <c r="Y15" i="18"/>
  <c r="X15" i="18"/>
  <c r="Y14" i="18"/>
  <c r="X14" i="18"/>
  <c r="Y13" i="18"/>
  <c r="X13" i="18"/>
  <c r="Y12" i="18"/>
  <c r="X12" i="18"/>
  <c r="Y11" i="18"/>
  <c r="X11" i="18"/>
  <c r="Y10" i="18"/>
  <c r="X10" i="18"/>
  <c r="Y9" i="18"/>
  <c r="X9" i="18"/>
  <c r="Y8" i="18"/>
  <c r="X8" i="18"/>
  <c r="Y7" i="18"/>
  <c r="X7" i="18"/>
  <c r="Y6" i="18"/>
  <c r="X6" i="18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Y37" i="17"/>
  <c r="X37" i="17"/>
  <c r="Y36" i="17"/>
  <c r="X36" i="17"/>
  <c r="Y35" i="17"/>
  <c r="X35" i="17"/>
  <c r="Y34" i="17"/>
  <c r="X34" i="17"/>
  <c r="Y33" i="17"/>
  <c r="X33" i="17"/>
  <c r="Y32" i="17"/>
  <c r="X32" i="17"/>
  <c r="X31" i="17"/>
  <c r="D31" i="17"/>
  <c r="Y30" i="17"/>
  <c r="X30" i="17"/>
  <c r="Y29" i="17"/>
  <c r="X29" i="17"/>
  <c r="Y28" i="17"/>
  <c r="X28" i="17"/>
  <c r="Y27" i="17"/>
  <c r="X27" i="17"/>
  <c r="Y26" i="17"/>
  <c r="X26" i="17"/>
  <c r="Y25" i="17"/>
  <c r="X25" i="17"/>
  <c r="Y24" i="17"/>
  <c r="X24" i="17"/>
  <c r="Y23" i="17"/>
  <c r="X23" i="17"/>
  <c r="Y22" i="17"/>
  <c r="X22" i="17"/>
  <c r="Y21" i="17"/>
  <c r="X21" i="17"/>
  <c r="Y20" i="17"/>
  <c r="X20" i="17"/>
  <c r="Y19" i="17"/>
  <c r="X19" i="17"/>
  <c r="Y18" i="17"/>
  <c r="X18" i="17"/>
  <c r="Y17" i="17"/>
  <c r="D17" i="17"/>
  <c r="D38" i="17"/>
  <c r="Y16" i="17"/>
  <c r="X16" i="17"/>
  <c r="Y15" i="17"/>
  <c r="X15" i="17"/>
  <c r="Y14" i="17"/>
  <c r="X14" i="17"/>
  <c r="Y13" i="17"/>
  <c r="X13" i="17"/>
  <c r="Y12" i="17"/>
  <c r="X12" i="17"/>
  <c r="Y11" i="17"/>
  <c r="X11" i="17"/>
  <c r="Y10" i="17"/>
  <c r="X10" i="17"/>
  <c r="Y9" i="17"/>
  <c r="X9" i="17"/>
  <c r="Y8" i="17"/>
  <c r="X8" i="17"/>
  <c r="Y7" i="17"/>
  <c r="X7" i="17"/>
  <c r="Y6" i="17"/>
  <c r="Y38" i="17"/>
  <c r="X6" i="17"/>
  <c r="X38" i="17"/>
  <c r="X17" i="17"/>
  <c r="D31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Y38" i="16"/>
  <c r="X18" i="16"/>
  <c r="Y17" i="16"/>
  <c r="D17" i="16"/>
  <c r="D38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8" i="16"/>
  <c r="X8" i="16"/>
  <c r="Y7" i="16"/>
  <c r="X7" i="16"/>
  <c r="Y6" i="16"/>
  <c r="X6" i="16"/>
  <c r="X17" i="16"/>
  <c r="X38" i="16"/>
  <c r="D31" i="15"/>
  <c r="X31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Y37" i="15"/>
  <c r="X37" i="15"/>
  <c r="Y36" i="15"/>
  <c r="X36" i="15"/>
  <c r="Y35" i="15"/>
  <c r="X35" i="15"/>
  <c r="Y34" i="15"/>
  <c r="X34" i="15"/>
  <c r="Y33" i="15"/>
  <c r="X33" i="15"/>
  <c r="Y32" i="15"/>
  <c r="X32" i="15"/>
  <c r="Y30" i="15"/>
  <c r="X30" i="15"/>
  <c r="Y29" i="15"/>
  <c r="X29" i="15"/>
  <c r="Y28" i="15"/>
  <c r="X28" i="15"/>
  <c r="Y27" i="15"/>
  <c r="X27" i="15"/>
  <c r="Y26" i="15"/>
  <c r="X26" i="15"/>
  <c r="Y25" i="15"/>
  <c r="X25" i="15"/>
  <c r="Y24" i="15"/>
  <c r="X24" i="15"/>
  <c r="Y23" i="15"/>
  <c r="X23" i="15"/>
  <c r="Y22" i="15"/>
  <c r="X22" i="15"/>
  <c r="Y21" i="15"/>
  <c r="X21" i="15"/>
  <c r="Y20" i="15"/>
  <c r="X20" i="15"/>
  <c r="Y19" i="15"/>
  <c r="X19" i="15"/>
  <c r="Y18" i="15"/>
  <c r="X18" i="15"/>
  <c r="Y17" i="15"/>
  <c r="D17" i="15"/>
  <c r="X17" i="15"/>
  <c r="Y16" i="15"/>
  <c r="X16" i="15"/>
  <c r="Y15" i="15"/>
  <c r="X15" i="15"/>
  <c r="Y14" i="15"/>
  <c r="X14" i="15"/>
  <c r="Y13" i="15"/>
  <c r="X13" i="15"/>
  <c r="Y12" i="15"/>
  <c r="X12" i="15"/>
  <c r="Y11" i="15"/>
  <c r="X11" i="15"/>
  <c r="Y10" i="15"/>
  <c r="X10" i="15"/>
  <c r="Y9" i="15"/>
  <c r="X9" i="15"/>
  <c r="Y8" i="15"/>
  <c r="X8" i="15"/>
  <c r="Y7" i="15"/>
  <c r="X7" i="15"/>
  <c r="Y6" i="15"/>
  <c r="Y38" i="15"/>
  <c r="X6" i="15"/>
  <c r="D31" i="14"/>
  <c r="X38" i="15"/>
  <c r="D38" i="15"/>
  <c r="X31" i="14"/>
  <c r="D17" i="14"/>
  <c r="Y6" i="14"/>
  <c r="Y7" i="14"/>
  <c r="Y8" i="14"/>
  <c r="Y9" i="14"/>
  <c r="Y10" i="14"/>
  <c r="Y11" i="14"/>
  <c r="Y12" i="14"/>
  <c r="Y13" i="14"/>
  <c r="Y14" i="14"/>
  <c r="Y15" i="14"/>
  <c r="Y16" i="14"/>
  <c r="Y17" i="14"/>
  <c r="Y18" i="14"/>
  <c r="Y19" i="14"/>
  <c r="Y20" i="14"/>
  <c r="Y21" i="14"/>
  <c r="Y22" i="14"/>
  <c r="Y23" i="14"/>
  <c r="Y24" i="14"/>
  <c r="Y25" i="14"/>
  <c r="Y26" i="14"/>
  <c r="Y27" i="14"/>
  <c r="Y28" i="14"/>
  <c r="Y29" i="14"/>
  <c r="Y30" i="14"/>
  <c r="Y31" i="14"/>
  <c r="Y38" i="14"/>
  <c r="Y32" i="14"/>
  <c r="Y33" i="14"/>
  <c r="Y34" i="14"/>
  <c r="Y35" i="14"/>
  <c r="Y36" i="14"/>
  <c r="Y37" i="14"/>
  <c r="X6" i="14"/>
  <c r="X7" i="14"/>
  <c r="X8" i="14"/>
  <c r="X9" i="14"/>
  <c r="X10" i="14"/>
  <c r="X11" i="14"/>
  <c r="X12" i="14"/>
  <c r="X13" i="14"/>
  <c r="X14" i="14"/>
  <c r="X15" i="14"/>
  <c r="X16" i="14"/>
  <c r="X17" i="14"/>
  <c r="X18" i="14"/>
  <c r="X19" i="14"/>
  <c r="X20" i="14"/>
  <c r="X21" i="14"/>
  <c r="X22" i="14"/>
  <c r="X23" i="14"/>
  <c r="X24" i="14"/>
  <c r="X25" i="14"/>
  <c r="X26" i="14"/>
  <c r="X27" i="14"/>
  <c r="X28" i="14"/>
  <c r="X29" i="14"/>
  <c r="X30" i="14"/>
  <c r="X32" i="14"/>
  <c r="X33" i="14"/>
  <c r="X34" i="14"/>
  <c r="X35" i="14"/>
  <c r="X36" i="14"/>
  <c r="X37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8" i="14"/>
  <c r="D39" i="13"/>
  <c r="D31" i="13"/>
  <c r="D17" i="13"/>
  <c r="Y6" i="13"/>
  <c r="Y7" i="13"/>
  <c r="Y8" i="13"/>
  <c r="Y9" i="13"/>
  <c r="Y10" i="13"/>
  <c r="Y11" i="13"/>
  <c r="Y12" i="13"/>
  <c r="Y13" i="13"/>
  <c r="Y14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X6" i="13"/>
  <c r="X7" i="13"/>
  <c r="X8" i="13"/>
  <c r="X9" i="13"/>
  <c r="X10" i="13"/>
  <c r="X11" i="13"/>
  <c r="X12" i="13"/>
  <c r="X13" i="13"/>
  <c r="X14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33" i="13"/>
  <c r="X34" i="13"/>
  <c r="X35" i="13"/>
  <c r="X36" i="13"/>
  <c r="X37" i="13"/>
  <c r="X38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D17" i="12"/>
  <c r="D31" i="12"/>
  <c r="Y6" i="12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3" i="12"/>
  <c r="Y24" i="12"/>
  <c r="Y25" i="12"/>
  <c r="Y26" i="12"/>
  <c r="Y27" i="12"/>
  <c r="Y28" i="12"/>
  <c r="Y29" i="12"/>
  <c r="Y30" i="12"/>
  <c r="Y31" i="12"/>
  <c r="Y32" i="12"/>
  <c r="Y33" i="12"/>
  <c r="Y34" i="12"/>
  <c r="Y35" i="12"/>
  <c r="Y36" i="12"/>
  <c r="Y37" i="12"/>
  <c r="Y38" i="12"/>
  <c r="Y39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0" i="12"/>
  <c r="X21" i="12"/>
  <c r="X22" i="12"/>
  <c r="X23" i="12"/>
  <c r="X24" i="12"/>
  <c r="X25" i="12"/>
  <c r="X26" i="12"/>
  <c r="X27" i="12"/>
  <c r="X28" i="12"/>
  <c r="X29" i="12"/>
  <c r="X30" i="12"/>
  <c r="X31" i="12"/>
  <c r="X32" i="12"/>
  <c r="X33" i="12"/>
  <c r="X34" i="12"/>
  <c r="X35" i="12"/>
  <c r="X36" i="12"/>
  <c r="X37" i="12"/>
  <c r="X38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D39" i="12"/>
  <c r="D31" i="11"/>
  <c r="D17" i="11"/>
  <c r="Y6" i="1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X6" i="11"/>
  <c r="X7" i="1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28" i="11"/>
  <c r="X29" i="11"/>
  <c r="X30" i="11"/>
  <c r="X31" i="11"/>
  <c r="X32" i="11"/>
  <c r="X33" i="11"/>
  <c r="X34" i="11"/>
  <c r="X35" i="11"/>
  <c r="X36" i="11"/>
  <c r="X37" i="11"/>
  <c r="X38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D31" i="10"/>
  <c r="D46" i="10"/>
  <c r="D17" i="10"/>
  <c r="E31" i="10"/>
  <c r="X31" i="10"/>
  <c r="E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Y45" i="10"/>
  <c r="X45" i="10"/>
  <c r="Y44" i="10"/>
  <c r="X44" i="10"/>
  <c r="Y43" i="10"/>
  <c r="X43" i="10"/>
  <c r="Y42" i="10"/>
  <c r="X42" i="10"/>
  <c r="Y41" i="10"/>
  <c r="X41" i="10"/>
  <c r="Y40" i="10"/>
  <c r="X40" i="10"/>
  <c r="Y39" i="10"/>
  <c r="X39" i="10"/>
  <c r="Y38" i="10"/>
  <c r="X38" i="10"/>
  <c r="Y37" i="10"/>
  <c r="X37" i="10"/>
  <c r="Y36" i="10"/>
  <c r="X36" i="10"/>
  <c r="Y35" i="10"/>
  <c r="X35" i="10"/>
  <c r="Y34" i="10"/>
  <c r="X34" i="10"/>
  <c r="Y33" i="10"/>
  <c r="X33" i="10"/>
  <c r="Y32" i="10"/>
  <c r="X32" i="10"/>
  <c r="Y30" i="10"/>
  <c r="X30" i="10"/>
  <c r="Y29" i="10"/>
  <c r="X29" i="10"/>
  <c r="Y28" i="10"/>
  <c r="X28" i="10"/>
  <c r="Y27" i="10"/>
  <c r="X27" i="10"/>
  <c r="Y26" i="10"/>
  <c r="X26" i="10"/>
  <c r="Y25" i="10"/>
  <c r="X25" i="10"/>
  <c r="Y24" i="10"/>
  <c r="X24" i="10"/>
  <c r="Y23" i="10"/>
  <c r="X23" i="10"/>
  <c r="Y22" i="10"/>
  <c r="X22" i="10"/>
  <c r="Y21" i="10"/>
  <c r="X21" i="10"/>
  <c r="Y20" i="10"/>
  <c r="X20" i="10"/>
  <c r="Y19" i="10"/>
  <c r="X19" i="10"/>
  <c r="Y18" i="10"/>
  <c r="X18" i="10"/>
  <c r="Y17" i="10"/>
  <c r="X17" i="10"/>
  <c r="Y16" i="10"/>
  <c r="X16" i="10"/>
  <c r="Y15" i="10"/>
  <c r="X15" i="10"/>
  <c r="Y14" i="10"/>
  <c r="X14" i="10"/>
  <c r="Y13" i="10"/>
  <c r="X13" i="10"/>
  <c r="Y12" i="10"/>
  <c r="X12" i="10"/>
  <c r="Y11" i="10"/>
  <c r="X11" i="10"/>
  <c r="Y10" i="10"/>
  <c r="X10" i="10"/>
  <c r="Y9" i="10"/>
  <c r="X9" i="10"/>
  <c r="Y8" i="10"/>
  <c r="X8" i="10"/>
  <c r="Y7" i="10"/>
  <c r="X7" i="10"/>
  <c r="Y6" i="10"/>
  <c r="X6" i="10"/>
  <c r="X46" i="10"/>
  <c r="Y31" i="10"/>
  <c r="Y46" i="10"/>
  <c r="D31" i="8"/>
  <c r="E46" i="8"/>
  <c r="D46" i="8"/>
  <c r="Y31" i="8"/>
  <c r="X31" i="8"/>
  <c r="X17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Y45" i="8"/>
  <c r="X45" i="8"/>
  <c r="Y44" i="8"/>
  <c r="X44" i="8"/>
  <c r="Y43" i="8"/>
  <c r="X43" i="8"/>
  <c r="Y42" i="8"/>
  <c r="X42" i="8"/>
  <c r="Y41" i="8"/>
  <c r="X41" i="8"/>
  <c r="Y40" i="8"/>
  <c r="X40" i="8"/>
  <c r="Y39" i="8"/>
  <c r="X39" i="8"/>
  <c r="Y38" i="8"/>
  <c r="X38" i="8"/>
  <c r="Y37" i="8"/>
  <c r="X37" i="8"/>
  <c r="Y36" i="8"/>
  <c r="X36" i="8"/>
  <c r="Y35" i="8"/>
  <c r="X35" i="8"/>
  <c r="Y34" i="8"/>
  <c r="X34" i="8"/>
  <c r="Y33" i="8"/>
  <c r="X33" i="8"/>
  <c r="Y32" i="8"/>
  <c r="X32" i="8"/>
  <c r="Y30" i="8"/>
  <c r="X30" i="8"/>
  <c r="Y29" i="8"/>
  <c r="X29" i="8"/>
  <c r="Y28" i="8"/>
  <c r="X28" i="8"/>
  <c r="Y27" i="8"/>
  <c r="X27" i="8"/>
  <c r="Y26" i="8"/>
  <c r="X26" i="8"/>
  <c r="Y25" i="8"/>
  <c r="X25" i="8"/>
  <c r="Y24" i="8"/>
  <c r="X24" i="8"/>
  <c r="Y23" i="8"/>
  <c r="X23" i="8"/>
  <c r="Y22" i="8"/>
  <c r="X22" i="8"/>
  <c r="Y21" i="8"/>
  <c r="X21" i="8"/>
  <c r="Y20" i="8"/>
  <c r="X20" i="8"/>
  <c r="Y19" i="8"/>
  <c r="X19" i="8"/>
  <c r="Y18" i="8"/>
  <c r="X18" i="8"/>
  <c r="Y17" i="8"/>
  <c r="D17" i="8"/>
  <c r="Y16" i="8"/>
  <c r="X16" i="8"/>
  <c r="Y15" i="8"/>
  <c r="X15" i="8"/>
  <c r="Y14" i="8"/>
  <c r="X14" i="8"/>
  <c r="Y13" i="8"/>
  <c r="X13" i="8"/>
  <c r="Y12" i="8"/>
  <c r="X12" i="8"/>
  <c r="Y11" i="8"/>
  <c r="X11" i="8"/>
  <c r="Y10" i="8"/>
  <c r="X10" i="8"/>
  <c r="Y9" i="8"/>
  <c r="X9" i="8"/>
  <c r="Y8" i="8"/>
  <c r="X8" i="8"/>
  <c r="Y7" i="8"/>
  <c r="X7" i="8"/>
  <c r="Y6" i="8"/>
  <c r="X6" i="8"/>
  <c r="D17" i="7"/>
  <c r="D31" i="7"/>
  <c r="X46" i="8"/>
  <c r="Y46" i="8"/>
  <c r="Y6" i="7"/>
  <c r="Y7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Y22" i="7"/>
  <c r="Y23" i="7"/>
  <c r="Y24" i="7"/>
  <c r="Y25" i="7"/>
  <c r="Y26" i="7"/>
  <c r="Y27" i="7"/>
  <c r="Y28" i="7"/>
  <c r="Y29" i="7"/>
  <c r="Y30" i="7"/>
  <c r="Y31" i="7"/>
  <c r="Y32" i="7"/>
  <c r="Y33" i="7"/>
  <c r="Y34" i="7"/>
  <c r="Y35" i="7"/>
  <c r="Y36" i="7"/>
  <c r="Y37" i="7"/>
  <c r="Y38" i="7"/>
  <c r="Y39" i="7"/>
  <c r="Y40" i="7"/>
  <c r="Y41" i="7"/>
  <c r="Y42" i="7"/>
  <c r="Y43" i="7"/>
  <c r="Y44" i="7"/>
  <c r="Y45" i="7"/>
  <c r="Y46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D17" i="6"/>
  <c r="D31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Y45" i="6"/>
  <c r="X45" i="6"/>
  <c r="Y44" i="6"/>
  <c r="X44" i="6"/>
  <c r="Y43" i="6"/>
  <c r="X43" i="6"/>
  <c r="Y42" i="6"/>
  <c r="X42" i="6"/>
  <c r="Y41" i="6"/>
  <c r="X41" i="6"/>
  <c r="Y40" i="6"/>
  <c r="X40" i="6"/>
  <c r="Y39" i="6"/>
  <c r="X39" i="6"/>
  <c r="Y38" i="6"/>
  <c r="X38" i="6"/>
  <c r="Y37" i="6"/>
  <c r="X37" i="6"/>
  <c r="Y36" i="6"/>
  <c r="X36" i="6"/>
  <c r="Y35" i="6"/>
  <c r="X35" i="6"/>
  <c r="Y34" i="6"/>
  <c r="X34" i="6"/>
  <c r="Y33" i="6"/>
  <c r="X33" i="6"/>
  <c r="Y32" i="6"/>
  <c r="X32" i="6"/>
  <c r="Y31" i="6"/>
  <c r="X31" i="6"/>
  <c r="Y30" i="6"/>
  <c r="X30" i="6"/>
  <c r="Y29" i="6"/>
  <c r="X29" i="6"/>
  <c r="Y28" i="6"/>
  <c r="X28" i="6"/>
  <c r="Y27" i="6"/>
  <c r="X27" i="6"/>
  <c r="Y26" i="6"/>
  <c r="X26" i="6"/>
  <c r="Y25" i="6"/>
  <c r="X25" i="6"/>
  <c r="Y24" i="6"/>
  <c r="X24" i="6"/>
  <c r="Y23" i="6"/>
  <c r="X23" i="6"/>
  <c r="Y22" i="6"/>
  <c r="X22" i="6"/>
  <c r="Y21" i="6"/>
  <c r="X21" i="6"/>
  <c r="Y20" i="6"/>
  <c r="X20" i="6"/>
  <c r="Y19" i="6"/>
  <c r="X19" i="6"/>
  <c r="Y18" i="6"/>
  <c r="X18" i="6"/>
  <c r="Y17" i="6"/>
  <c r="X17" i="6"/>
  <c r="D46" i="6"/>
  <c r="Y16" i="6"/>
  <c r="X16" i="6"/>
  <c r="Y15" i="6"/>
  <c r="X15" i="6"/>
  <c r="Y14" i="6"/>
  <c r="X14" i="6"/>
  <c r="Y13" i="6"/>
  <c r="X13" i="6"/>
  <c r="Y12" i="6"/>
  <c r="X12" i="6"/>
  <c r="Y11" i="6"/>
  <c r="X11" i="6"/>
  <c r="Y10" i="6"/>
  <c r="X10" i="6"/>
  <c r="Y9" i="6"/>
  <c r="X9" i="6"/>
  <c r="Y8" i="6"/>
  <c r="X8" i="6"/>
  <c r="Y7" i="6"/>
  <c r="X7" i="6"/>
  <c r="Y6" i="6"/>
  <c r="Y46" i="6"/>
  <c r="X6" i="6"/>
  <c r="X46" i="6"/>
  <c r="D31" i="5"/>
  <c r="D17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Y45" i="5"/>
  <c r="X45" i="5"/>
  <c r="Y44" i="5"/>
  <c r="X44" i="5"/>
  <c r="Y43" i="5"/>
  <c r="X43" i="5"/>
  <c r="Y42" i="5"/>
  <c r="X42" i="5"/>
  <c r="Y41" i="5"/>
  <c r="X41" i="5"/>
  <c r="Y40" i="5"/>
  <c r="X40" i="5"/>
  <c r="Y39" i="5"/>
  <c r="X39" i="5"/>
  <c r="Y38" i="5"/>
  <c r="X38" i="5"/>
  <c r="Y37" i="5"/>
  <c r="X37" i="5"/>
  <c r="Y36" i="5"/>
  <c r="X36" i="5"/>
  <c r="Y35" i="5"/>
  <c r="X35" i="5"/>
  <c r="Y34" i="5"/>
  <c r="X34" i="5"/>
  <c r="Y33" i="5"/>
  <c r="X33" i="5"/>
  <c r="Y32" i="5"/>
  <c r="X32" i="5"/>
  <c r="Y31" i="5"/>
  <c r="X31" i="5"/>
  <c r="E46" i="5"/>
  <c r="Y30" i="5"/>
  <c r="X30" i="5"/>
  <c r="Y29" i="5"/>
  <c r="X29" i="5"/>
  <c r="Y28" i="5"/>
  <c r="X28" i="5"/>
  <c r="Y27" i="5"/>
  <c r="X27" i="5"/>
  <c r="Y26" i="5"/>
  <c r="X26" i="5"/>
  <c r="Y25" i="5"/>
  <c r="X25" i="5"/>
  <c r="Y24" i="5"/>
  <c r="X24" i="5"/>
  <c r="Y23" i="5"/>
  <c r="X23" i="5"/>
  <c r="Y22" i="5"/>
  <c r="X22" i="5"/>
  <c r="Y21" i="5"/>
  <c r="X21" i="5"/>
  <c r="Y20" i="5"/>
  <c r="X20" i="5"/>
  <c r="Y19" i="5"/>
  <c r="X19" i="5"/>
  <c r="Y18" i="5"/>
  <c r="X18" i="5"/>
  <c r="Y17" i="5"/>
  <c r="Y46" i="5"/>
  <c r="X17" i="5"/>
  <c r="Y16" i="5"/>
  <c r="X16" i="5"/>
  <c r="Y15" i="5"/>
  <c r="X15" i="5"/>
  <c r="Y14" i="5"/>
  <c r="X14" i="5"/>
  <c r="Y13" i="5"/>
  <c r="X13" i="5"/>
  <c r="Y12" i="5"/>
  <c r="X12" i="5"/>
  <c r="Y11" i="5"/>
  <c r="X11" i="5"/>
  <c r="Y10" i="5"/>
  <c r="X10" i="5"/>
  <c r="Y9" i="5"/>
  <c r="X9" i="5"/>
  <c r="Y8" i="5"/>
  <c r="X8" i="5"/>
  <c r="Y7" i="5"/>
  <c r="X7" i="5"/>
  <c r="Y6" i="5"/>
  <c r="X6" i="5"/>
  <c r="X46" i="5"/>
  <c r="D46" i="5"/>
  <c r="D46" i="4"/>
  <c r="D17" i="4"/>
  <c r="D31" i="4"/>
  <c r="E31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Y45" i="4"/>
  <c r="X45" i="4"/>
  <c r="Y44" i="4"/>
  <c r="X44" i="4"/>
  <c r="Y43" i="4"/>
  <c r="X43" i="4"/>
  <c r="Y42" i="4"/>
  <c r="X42" i="4"/>
  <c r="Y41" i="4"/>
  <c r="X41" i="4"/>
  <c r="Y40" i="4"/>
  <c r="X40" i="4"/>
  <c r="Y39" i="4"/>
  <c r="X39" i="4"/>
  <c r="Y38" i="4"/>
  <c r="X38" i="4"/>
  <c r="Y37" i="4"/>
  <c r="X37" i="4"/>
  <c r="Y36" i="4"/>
  <c r="X36" i="4"/>
  <c r="Y35" i="4"/>
  <c r="X35" i="4"/>
  <c r="Y34" i="4"/>
  <c r="X34" i="4"/>
  <c r="Y33" i="4"/>
  <c r="X33" i="4"/>
  <c r="Y32" i="4"/>
  <c r="X32" i="4"/>
  <c r="Y31" i="4"/>
  <c r="X31" i="4"/>
  <c r="E46" i="4"/>
  <c r="Y30" i="4"/>
  <c r="X30" i="4"/>
  <c r="Y29" i="4"/>
  <c r="X29" i="4"/>
  <c r="Y28" i="4"/>
  <c r="X28" i="4"/>
  <c r="Y27" i="4"/>
  <c r="X27" i="4"/>
  <c r="Y26" i="4"/>
  <c r="X26" i="4"/>
  <c r="Y25" i="4"/>
  <c r="X25" i="4"/>
  <c r="Y24" i="4"/>
  <c r="X24" i="4"/>
  <c r="Y23" i="4"/>
  <c r="X23" i="4"/>
  <c r="Y22" i="4"/>
  <c r="X22" i="4"/>
  <c r="Y21" i="4"/>
  <c r="X21" i="4"/>
  <c r="Y20" i="4"/>
  <c r="X20" i="4"/>
  <c r="Y19" i="4"/>
  <c r="X19" i="4"/>
  <c r="Y18" i="4"/>
  <c r="X18" i="4"/>
  <c r="Y17" i="4"/>
  <c r="X17" i="4"/>
  <c r="Y16" i="4"/>
  <c r="X16" i="4"/>
  <c r="Y15" i="4"/>
  <c r="X15" i="4"/>
  <c r="Y14" i="4"/>
  <c r="X14" i="4"/>
  <c r="Y13" i="4"/>
  <c r="X13" i="4"/>
  <c r="Y12" i="4"/>
  <c r="X12" i="4"/>
  <c r="Y11" i="4"/>
  <c r="X11" i="4"/>
  <c r="Y10" i="4"/>
  <c r="X10" i="4"/>
  <c r="Y9" i="4"/>
  <c r="X9" i="4"/>
  <c r="Y8" i="4"/>
  <c r="X8" i="4"/>
  <c r="Y7" i="4"/>
  <c r="X7" i="4"/>
  <c r="X46" i="4"/>
  <c r="Y6" i="4"/>
  <c r="Y46" i="4"/>
  <c r="X6" i="4"/>
  <c r="E31" i="3"/>
  <c r="D31" i="3"/>
  <c r="D17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Y45" i="3"/>
  <c r="X45" i="3"/>
  <c r="Y44" i="3"/>
  <c r="X44" i="3"/>
  <c r="Y43" i="3"/>
  <c r="X43" i="3"/>
  <c r="Y42" i="3"/>
  <c r="X42" i="3"/>
  <c r="Y41" i="3"/>
  <c r="X41" i="3"/>
  <c r="Y40" i="3"/>
  <c r="X40" i="3"/>
  <c r="Y39" i="3"/>
  <c r="X39" i="3"/>
  <c r="Y38" i="3"/>
  <c r="X38" i="3"/>
  <c r="Y37" i="3"/>
  <c r="X37" i="3"/>
  <c r="Y36" i="3"/>
  <c r="X36" i="3"/>
  <c r="Y35" i="3"/>
  <c r="X35" i="3"/>
  <c r="Y34" i="3"/>
  <c r="X34" i="3"/>
  <c r="Y33" i="3"/>
  <c r="X33" i="3"/>
  <c r="Y32" i="3"/>
  <c r="X32" i="3"/>
  <c r="Y31" i="3"/>
  <c r="X31" i="3"/>
  <c r="Y30" i="3"/>
  <c r="X30" i="3"/>
  <c r="Y29" i="3"/>
  <c r="X29" i="3"/>
  <c r="Y28" i="3"/>
  <c r="X28" i="3"/>
  <c r="Y27" i="3"/>
  <c r="X27" i="3"/>
  <c r="Y26" i="3"/>
  <c r="X26" i="3"/>
  <c r="Y25" i="3"/>
  <c r="X25" i="3"/>
  <c r="Y24" i="3"/>
  <c r="X24" i="3"/>
  <c r="Y23" i="3"/>
  <c r="X23" i="3"/>
  <c r="Y22" i="3"/>
  <c r="X22" i="3"/>
  <c r="Y21" i="3"/>
  <c r="X21" i="3"/>
  <c r="Y20" i="3"/>
  <c r="X20" i="3"/>
  <c r="Y19" i="3"/>
  <c r="X19" i="3"/>
  <c r="Y18" i="3"/>
  <c r="X18" i="3"/>
  <c r="Y17" i="3"/>
  <c r="X17" i="3"/>
  <c r="D46" i="3"/>
  <c r="Y16" i="3"/>
  <c r="X16" i="3"/>
  <c r="Y15" i="3"/>
  <c r="X15" i="3"/>
  <c r="Y14" i="3"/>
  <c r="X14" i="3"/>
  <c r="Y13" i="3"/>
  <c r="X13" i="3"/>
  <c r="Y12" i="3"/>
  <c r="X12" i="3"/>
  <c r="Y11" i="3"/>
  <c r="X11" i="3"/>
  <c r="Y10" i="3"/>
  <c r="X10" i="3"/>
  <c r="Y9" i="3"/>
  <c r="X9" i="3"/>
  <c r="Y8" i="3"/>
  <c r="X8" i="3"/>
  <c r="Y7" i="3"/>
  <c r="Y46" i="3"/>
  <c r="X7" i="3"/>
  <c r="Y6" i="3"/>
  <c r="X6" i="3"/>
  <c r="X46" i="3"/>
  <c r="X30" i="1"/>
  <c r="Y30" i="1"/>
  <c r="X31" i="1"/>
  <c r="Y31" i="1"/>
  <c r="X32" i="1"/>
  <c r="Y32" i="1"/>
  <c r="X33" i="1"/>
  <c r="Y33" i="1"/>
  <c r="X34" i="1"/>
  <c r="Y34" i="1"/>
  <c r="X35" i="1"/>
  <c r="Y35" i="1"/>
  <c r="X36" i="1"/>
  <c r="Y36" i="1"/>
  <c r="X37" i="1"/>
  <c r="Y37" i="1"/>
  <c r="X38" i="1"/>
  <c r="Y38" i="1"/>
  <c r="X39" i="1"/>
  <c r="Y39" i="1"/>
  <c r="X40" i="1"/>
  <c r="Y40" i="1"/>
  <c r="X41" i="1"/>
  <c r="Y41" i="1"/>
  <c r="X42" i="1"/>
  <c r="Y42" i="1"/>
  <c r="X43" i="1"/>
  <c r="Y43" i="1"/>
  <c r="X44" i="1"/>
  <c r="Y44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F46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X23" i="1"/>
  <c r="Y23" i="1"/>
  <c r="X24" i="1"/>
  <c r="Y24" i="1"/>
  <c r="X25" i="1"/>
  <c r="Y25" i="1"/>
  <c r="X26" i="1"/>
  <c r="Y26" i="1"/>
  <c r="X27" i="1"/>
  <c r="Y27" i="1"/>
  <c r="X28" i="1"/>
  <c r="Y28" i="1"/>
  <c r="X29" i="1"/>
  <c r="Y29" i="1"/>
  <c r="X45" i="1"/>
  <c r="Y45" i="1"/>
  <c r="X7" i="1"/>
  <c r="Y7" i="1"/>
  <c r="Y6" i="1"/>
  <c r="X6" i="1"/>
  <c r="Y46" i="1"/>
  <c r="X46" i="1"/>
</calcChain>
</file>

<file path=xl/comments1.xml><?xml version="1.0" encoding="utf-8"?>
<comments xmlns="http://schemas.openxmlformats.org/spreadsheetml/2006/main">
  <authors>
    <author>Windows 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Key Board  Mouse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- 1,000,000mmk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 - 100,000mmk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Airman 2U from Local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Shwe Ein/PO-19100021 -58,834.55mmk
 PO19100017 - 7000MMK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USD204.25
Linear Power</t>
        </r>
      </text>
    </comment>
  </commentList>
</comments>
</file>

<file path=xl/comments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- 950,000mmk
Border - 500,000mmk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-500,000mmk
Shwe Ein/PO-19110022 
Plan for Mobile Oil 2Cans</t>
        </r>
      </text>
    </comment>
  </commentList>
</comments>
</file>

<file path=xl/comments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-1,000,000mmk
Mobile Oil 2Cans - 190120mmk</t>
        </r>
      </text>
    </comment>
  </commentList>
</comments>
</file>

<file path=xl/comments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Luckyman - 880000mmk</t>
        </r>
      </text>
    </comment>
  </commentList>
</comments>
</file>

<file path=xl/comments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Spart Local -2,000,000mmk
Shwe Ein - 28,876.82mmk
Shwe Ein - 55,472.57mmk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Asia Pioneer - USD 276.48</t>
        </r>
      </text>
    </comment>
  </commentList>
</comments>
</file>

<file path=xl/comments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- 900,000mmk
</t>
        </r>
      </text>
    </comment>
  </commentList>
</comments>
</file>

<file path=xl/comments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- 600,000mmk
</t>
        </r>
      </text>
    </comment>
  </commentList>
</comments>
</file>

<file path=xl/comments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 - 500,000MMK
Border - 5,0000MMK
</t>
        </r>
      </text>
    </comment>
  </commentList>
</comments>
</file>

<file path=xl/comments1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2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3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4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5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6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7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8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19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0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comments21.xml><?xml version="1.0" encoding="utf-8"?>
<comments xmlns="http://schemas.openxmlformats.org/spreadsheetml/2006/main">
  <authors>
    <author>Windows User</author>
  </authors>
  <commentList>
    <comment ref="D1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DHL Duty</t>
        </r>
      </text>
    </comment>
  </commentList>
</comments>
</file>

<file path=xl/sharedStrings.xml><?xml version="1.0" encoding="utf-8"?>
<sst xmlns="http://schemas.openxmlformats.org/spreadsheetml/2006/main" count="4570" uniqueCount="193">
  <si>
    <t>Power System BU</t>
  </si>
  <si>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</si>
  <si>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</si>
  <si>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</si>
  <si>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</si>
  <si>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</si>
  <si>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</si>
  <si>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</si>
  <si>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</si>
  <si>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</si>
  <si>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</si>
  <si>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</si>
  <si>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</si>
  <si>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</si>
  <si>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</si>
  <si>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</si>
  <si>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</si>
  <si>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</si>
  <si>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 xml:space="preserve">Monthly Cash Budget </t>
  </si>
  <si>
    <t>USD</t>
  </si>
  <si>
    <t xml:space="preserve"> HR&amp;GA</t>
  </si>
  <si>
    <t>Spare Parts</t>
  </si>
  <si>
    <t>Unit Sales</t>
  </si>
  <si>
    <t>Name:</t>
  </si>
  <si>
    <t>Position:</t>
  </si>
  <si>
    <t>Department:</t>
  </si>
  <si>
    <t xml:space="preserve">Employee Overtime Charges </t>
  </si>
  <si>
    <t xml:space="preserve">Employee Transportation &amp; Ferry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</si>
  <si>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</si>
  <si>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</si>
  <si>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</si>
  <si>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</si>
  <si>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</si>
  <si>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</si>
  <si>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</si>
  <si>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</si>
  <si>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</si>
  <si>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</si>
  <si>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</si>
  <si>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</si>
  <si>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</si>
  <si>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</si>
  <si>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</si>
  <si>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</si>
  <si>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</si>
  <si>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</si>
  <si>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</si>
  <si>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</si>
  <si>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</si>
  <si>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</si>
  <si>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</si>
  <si>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</si>
  <si>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Machine Repair&amp; Maintenance Charges (Painting included)</t>
  </si>
  <si>
    <t>DHL Charges / Border Charges</t>
  </si>
  <si>
    <t>Local Purchased for Spare Parts</t>
  </si>
  <si>
    <t xml:space="preserve">Position: </t>
  </si>
  <si>
    <t>Procurement</t>
  </si>
  <si>
    <t>Monthly Cash Budget for Oct'19</t>
  </si>
  <si>
    <t xml:space="preserve">Name:     Mi Mi Ko                   </t>
  </si>
  <si>
    <t xml:space="preserve">Department:      Procurement                                  </t>
  </si>
  <si>
    <t>Position:  DH</t>
  </si>
  <si>
    <t>Name:  Khaing Zar Chi Oo</t>
  </si>
  <si>
    <t>Position:   SH</t>
  </si>
  <si>
    <t>Phyo Thu</t>
  </si>
  <si>
    <t>GM</t>
  </si>
  <si>
    <t>PGIS BU</t>
  </si>
  <si>
    <t>Monthly Cash Budget for Nov'19</t>
  </si>
  <si>
    <t>Monthly Cash Budget for Dec19</t>
  </si>
  <si>
    <t xml:space="preserve">Name:   </t>
  </si>
  <si>
    <t>Monthly Cash Budget for Jan'20</t>
  </si>
  <si>
    <t>Monthly Cash Budget for Feb'20</t>
  </si>
  <si>
    <t>Remark</t>
  </si>
  <si>
    <t>DHL Custom Duty</t>
  </si>
  <si>
    <t>Position:  GM</t>
  </si>
  <si>
    <t>Monthly Cash Budget for Mar'20</t>
  </si>
  <si>
    <t>Spart Local  -2,000,000MMK
Shwe Ein - 84,349.39MMK
Asia Pioneer - USD 276.48
Local Battery - 1,262,960MMK</t>
  </si>
  <si>
    <t>Prepared By</t>
  </si>
  <si>
    <t>Monthly Cash Budget for Apr'20</t>
  </si>
  <si>
    <t>Spart Local  - 500,000MMK
Lucky Man - 1,500,000MMK
Aung San (Battery) - 1,262,950MMK
Asia Pioneer - USD 844.67</t>
  </si>
  <si>
    <t xml:space="preserve">Department:                         </t>
  </si>
  <si>
    <t>Monthly Cash Budget for May'20</t>
  </si>
  <si>
    <t xml:space="preserve">Name:    Mi Mi Ko            </t>
  </si>
  <si>
    <t>Position:   S.H</t>
  </si>
  <si>
    <t>Position:  D.H</t>
  </si>
  <si>
    <t>Spart Local 200,000MMK
Lucky Man 282,000MMK</t>
  </si>
  <si>
    <t>Monthly Cash Budget for Jun'20</t>
  </si>
  <si>
    <t>Local 400,000MMK
Luckyman -580,000.00MMK</t>
  </si>
  <si>
    <t>Monthly Cash Budget for Jul'20</t>
  </si>
  <si>
    <t xml:space="preserve">Local - 500,000Ks
SPD Supplier - 29,309,351.5Ks </t>
  </si>
  <si>
    <t>DHL Duty and Border</t>
  </si>
  <si>
    <t>Monthly Cash Budget for Aug'20</t>
  </si>
  <si>
    <t>SPD Supplier - 29,309,351.5Ks 
S'part Local - 500,000Ks
Golden Thundar - 240,000Ks
Asia Pioneer - 109USD</t>
  </si>
  <si>
    <t xml:space="preserve">SPD Supplier - 49,193,220.0Ks 
S'part Local - 500,000Ks
</t>
  </si>
  <si>
    <t>DHL Custom Duty and Border</t>
  </si>
  <si>
    <t>Monthly Cash Budget for Sep'20</t>
  </si>
  <si>
    <t>S'part Local - 500,000Ks</t>
  </si>
  <si>
    <t>Name:   Mi Mi Ko</t>
  </si>
  <si>
    <t>Name:   Phyo Thu</t>
  </si>
  <si>
    <t>Monthly Cash Budget for Nov'20</t>
  </si>
  <si>
    <t>Monthly Cash Budget for Dec'20</t>
  </si>
  <si>
    <t>z</t>
  </si>
  <si>
    <t>Monthly Cash Budget for Jna'21</t>
  </si>
  <si>
    <t xml:space="preserve">Department:      Procurement  Detp                </t>
  </si>
  <si>
    <t>S'part Local - 1,000,000Ks
SDP 2nd Pay - 5,995,400Ks</t>
  </si>
  <si>
    <t>Power Systems &amp; Generator BU</t>
  </si>
  <si>
    <t>Monthly Cash Budget for Feb'21</t>
  </si>
  <si>
    <t xml:space="preserve">Position:  </t>
  </si>
  <si>
    <t>DHL Custom Duty/ Delivery fees</t>
  </si>
  <si>
    <t xml:space="preserve">Department:    Procurement  Detp                </t>
  </si>
  <si>
    <t xml:space="preserve">Department:  Procurement  Detp                </t>
  </si>
  <si>
    <t>S'part Local - 1,000,000Ks
Shwe Ein - 2,095,917.40Ks
Fuel Tank 12Units - 10,800,000Ks
SDP 2nd pay - 23,766,750Ks
SPD 1st pay - 113,516,360Ks</t>
  </si>
  <si>
    <t>Monthly Cash Budget for Mar'21</t>
  </si>
  <si>
    <t>S'part Local - 1,000,000Ks
Shwe Ein - 2,095,917.40Ks
Fuel Tank 12Units - 10,800,000Ks
SDP payment - 23,766,750Ks + 227,032,720Ks + 41,605,950Ks</t>
  </si>
  <si>
    <t>S'part Local - 1,000,000Ks
Shwe Ein - 2,095,917.40Ks
SDP payment - 23,766,750Ks +113,516,360Ks + 41,605,950Ks</t>
  </si>
  <si>
    <t>Monthly Cash Budget for Apr'21</t>
  </si>
  <si>
    <t>20-Apr-20 Weekly Budget</t>
  </si>
  <si>
    <t>Monthly Cash Budget for May'21</t>
  </si>
  <si>
    <t>S'part Local - 1,000,000Ks
Shwe Ein - 2,095,917.40Ks
SDP payment - 41,605,950Ks</t>
  </si>
  <si>
    <t>Monthly Cash Budget for Jun'21</t>
  </si>
  <si>
    <t>DHL Custom Duty/ Transport charges</t>
  </si>
  <si>
    <t>S'part Local - 1,000,000Ks
SPD 1st pay - 33,900,318.5Ks</t>
  </si>
  <si>
    <t>S'part Local - 2,000,000Ks
SPD Supplier - 34,305,000Ks</t>
  </si>
  <si>
    <t>DHL Custom Duty/ 
Transport charges</t>
  </si>
  <si>
    <t>Monthly Cash Budget for Jul'21</t>
  </si>
  <si>
    <t>S'part Local - 5,000,000Ks
SPD Supplier - 47,500,000Ks</t>
  </si>
  <si>
    <t>Monthly Cash Budget for Aug'21</t>
  </si>
  <si>
    <t>Monthly Cash Budget for Sep'21</t>
  </si>
  <si>
    <t>Local Purchased - 5,000,000Ks
SPD Supplier - 64,684,700Ks</t>
  </si>
  <si>
    <t>Dell Battery and Mouse</t>
  </si>
  <si>
    <t>Power Generation BU</t>
  </si>
  <si>
    <t>Monthly Cash Budget for Oct'21</t>
  </si>
  <si>
    <t>Local Purchased - 4,000,000Ks</t>
  </si>
  <si>
    <t>Name:   Soe Htet Tin</t>
  </si>
  <si>
    <t>Position:  AGM</t>
  </si>
  <si>
    <t xml:space="preserve">Local Purchased  </t>
  </si>
  <si>
    <t>Monthly Cash Budget for Nov'21</t>
  </si>
  <si>
    <t>Monthly Cash Budget for Dec'21</t>
  </si>
  <si>
    <t>DHL Custom Duty - 700,000Ks
Border charges - 500,000Ks</t>
  </si>
  <si>
    <t>DHL Custom Duty and
Border charges - 1,500,000Ks</t>
  </si>
  <si>
    <t>Monthly Cash Budget for Jan'22</t>
  </si>
  <si>
    <t>Monthly Cash Budget for Feb'22</t>
  </si>
  <si>
    <t>Monthly Cash Budget for Mar'22</t>
  </si>
  <si>
    <t>DHL Custom Duty and
Border charges - 800,000Ks</t>
  </si>
  <si>
    <t>Keyboard and Battery</t>
  </si>
  <si>
    <t>Monthly Cash Budget for Apr'22</t>
  </si>
  <si>
    <t xml:space="preserve">DHL Custom Duty and
Border charges </t>
  </si>
  <si>
    <t>Monthly Cash Budget for May'22</t>
  </si>
  <si>
    <t xml:space="preserve">Taxi Charges </t>
  </si>
  <si>
    <t xml:space="preserve">Name:    Zon Zon Zaw      </t>
  </si>
  <si>
    <t xml:space="preserve">Position:   </t>
  </si>
  <si>
    <t xml:space="preserve">Department:    Spare Part  Detp                </t>
  </si>
  <si>
    <t>Name:   Aye Thandar Soe</t>
  </si>
  <si>
    <t xml:space="preserve">Department:   Management                       </t>
  </si>
  <si>
    <t>SD Card for HP Computer</t>
  </si>
  <si>
    <t>Monthly Cash Budget for Jun'22</t>
  </si>
  <si>
    <t>Monthly Cash Budget for Jul'22</t>
  </si>
  <si>
    <t>Keyboard and SD Card</t>
  </si>
  <si>
    <t>Monthly Cash Budget for Aug'22</t>
  </si>
  <si>
    <t xml:space="preserve">Dell Laptop Battery </t>
  </si>
  <si>
    <t>DHL Custom Duty and
Border Shipment Cost</t>
  </si>
  <si>
    <t>s</t>
  </si>
  <si>
    <t>Monthly Cash Budget for Sep'22</t>
  </si>
  <si>
    <t>Monthly Cash Budget for Oct'22</t>
  </si>
  <si>
    <t>Name:    Hnin Su Phway</t>
  </si>
  <si>
    <t>Position:  Staff</t>
  </si>
  <si>
    <t>Department:   Management</t>
  </si>
  <si>
    <t>Monthly Cash Budget for Nov'22</t>
  </si>
  <si>
    <t>Key Board for Desktop</t>
  </si>
  <si>
    <t>Monthly Cash Budget for Dec'22</t>
  </si>
  <si>
    <t>Payment</t>
  </si>
  <si>
    <t>Extra Amt</t>
  </si>
  <si>
    <t>Local PO</t>
  </si>
  <si>
    <t>Monthly Cash Budget for Feb'23</t>
  </si>
  <si>
    <t xml:space="preserve">DHL Custom Duty and
Border Shipment Cost for Matador Filter and Part Order </t>
  </si>
  <si>
    <t>Monthly Cash Budget for Mar'23</t>
  </si>
  <si>
    <t>Power Generator BU</t>
  </si>
  <si>
    <t>Monthly Cash Budget for May'23</t>
  </si>
  <si>
    <t xml:space="preserve">Update Credit balance as of (12-Apr-2023) </t>
  </si>
  <si>
    <t>                                      (307.78)</t>
  </si>
  <si>
    <t>Credit balance available</t>
  </si>
  <si>
    <t>WW-PRT-PO-23040008 / PI : 20230412 (52052 / Class 2)  </t>
  </si>
  <si>
    <t xml:space="preserve">                                         14.59 </t>
  </si>
  <si>
    <t xml:space="preserve"> Offset Payment </t>
  </si>
  <si>
    <t xml:space="preserve"> Update Credit balance as of (18-Apr-2023) </t>
  </si>
  <si>
    <t>                                      (293.19)</t>
  </si>
  <si>
    <t xml:space="preserve">Update Credit balance as of (2-May-2023) </t>
  </si>
  <si>
    <t>WW-PRT-PO-23040026 / PI : 20230427-B (52052 / Class 2)  </t>
  </si>
  <si>
    <t>                       285.55</t>
  </si>
  <si>
    <t>                                     ( 293.19)</t>
  </si>
  <si>
    <t>Monthly Cash Budget for Jun'23</t>
  </si>
  <si>
    <t>Monthly Cash Budget for Jul'23</t>
  </si>
  <si>
    <t>Monthly Cash Budget for Aug'23</t>
  </si>
  <si>
    <t>Monthly Cash Budget for Sep'23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</si>
</sst>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000"/>
    <numFmt numFmtId="166" formatCode="_(* #,##0.0_);_(* \(#,##0.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i/>
      <sz val="20"/>
      <name val="Times New Roman"/>
      <family val="1"/>
    </font>
    <font>
      <b/>
      <sz val="20"/>
      <name val="Times New Roman"/>
      <family val="1"/>
    </font>
    <font>
      <sz val="20"/>
      <color theme="1"/>
      <name val="Times New Roman"/>
      <family val="1"/>
    </font>
    <font>
      <b/>
      <i/>
      <sz val="2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</font>
    <font>
      <sz val="11"/>
      <color rgb="FF333333"/>
      <name val="Arial"/>
      <family val="2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rgb="FF0070C0"/>
      <name val="Times New Roman"/>
      <family val="1"/>
    </font>
    <font>
      <sz val="11"/>
      <color rgb="FF000000"/>
      <name val="Times New Roman"/>
      <family val="1"/>
    </font>
    <font>
      <sz val="11"/>
      <color rgb="FF1F497D"/>
      <name val="Calibri"/>
      <family val="2"/>
    </font>
    <font>
      <b/>
      <sz val="11"/>
      <color rgb="FF0070C0"/>
      <name val="Times New Roman"/>
      <family val="1"/>
    </font>
    <font>
      <b/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3">
    <xf numFmtId="0" fontId="0" fillId="0" borderId="0" xfId="0"/>
    <xf numFmtId="0" fontId="2" fillId="0" borderId="0" xfId="0" applyFont="1" applyAlignment="1">
      <alignment vertical="center"/>
    </xf>
    <xf numFmtId="2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64" fontId="6" fillId="2" borderId="0" xfId="1" applyNumberFormat="1" applyFont="1" applyFill="1" applyBorder="1" applyAlignment="1"/>
    <xf numFmtId="164" fontId="6" fillId="2" borderId="0" xfId="1" applyNumberFormat="1" applyFont="1" applyFill="1" applyBorder="1" applyAlignment="1">
      <alignment horizontal="center"/>
    </xf>
    <xf numFmtId="0" fontId="7" fillId="0" borderId="0" xfId="0" applyFont="1"/>
    <xf numFmtId="0" fontId="8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wrapText="1"/>
    </xf>
    <xf numFmtId="164" fontId="8" fillId="2" borderId="5" xfId="1" applyNumberFormat="1" applyFont="1" applyFill="1" applyBorder="1"/>
    <xf numFmtId="164" fontId="8" fillId="2" borderId="5" xfId="1" applyNumberFormat="1" applyFont="1" applyFill="1" applyBorder="1" applyAlignment="1"/>
    <xf numFmtId="0" fontId="8" fillId="2" borderId="6" xfId="0" applyFont="1" applyFill="1" applyBorder="1" applyAlignment="1">
      <alignment horizontal="center"/>
    </xf>
    <xf numFmtId="0" fontId="8" fillId="2" borderId="6" xfId="0" applyFont="1" applyFill="1" applyBorder="1"/>
    <xf numFmtId="164" fontId="8" fillId="2" borderId="6" xfId="1" applyNumberFormat="1" applyFont="1" applyFill="1" applyBorder="1"/>
    <xf numFmtId="164" fontId="8" fillId="2" borderId="6" xfId="1" applyNumberFormat="1" applyFont="1" applyFill="1" applyBorder="1" applyAlignment="1"/>
    <xf numFmtId="0" fontId="8" fillId="2" borderId="6" xfId="0" applyFont="1" applyFill="1" applyBorder="1" applyAlignment="1">
      <alignment wrapText="1"/>
    </xf>
    <xf numFmtId="164" fontId="8" fillId="2" borderId="6" xfId="1" applyNumberFormat="1" applyFont="1" applyFill="1" applyBorder="1" applyAlignment="1">
      <alignment vertical="center"/>
    </xf>
    <xf numFmtId="0" fontId="8" fillId="2" borderId="7" xfId="0" applyFont="1" applyFill="1" applyBorder="1"/>
    <xf numFmtId="164" fontId="8" fillId="2" borderId="7" xfId="1" applyNumberFormat="1" applyFont="1" applyFill="1" applyBorder="1"/>
    <xf numFmtId="0" fontId="8" fillId="3" borderId="9" xfId="0" applyFont="1" applyFill="1" applyBorder="1" applyAlignment="1">
      <alignment horizontal="center"/>
    </xf>
    <xf numFmtId="0" fontId="4" fillId="3" borderId="8" xfId="0" applyFont="1" applyFill="1" applyBorder="1" applyAlignment="1"/>
    <xf numFmtId="164" fontId="4" fillId="3" borderId="8" xfId="1" applyNumberFormat="1" applyFont="1" applyFill="1" applyBorder="1" applyAlignment="1">
      <alignment horizontal="center"/>
    </xf>
    <xf numFmtId="0" fontId="7" fillId="0" borderId="0" xfId="0" applyFont="1" applyFill="1" applyBorder="1"/>
    <xf numFmtId="164" fontId="4" fillId="0" borderId="0" xfId="1" applyNumberFormat="1" applyFont="1" applyFill="1" applyBorder="1"/>
    <xf numFmtId="2" fontId="7" fillId="0" borderId="0" xfId="0" applyNumberFormat="1" applyFont="1"/>
    <xf numFmtId="164" fontId="7" fillId="0" borderId="0" xfId="0" applyNumberFormat="1" applyFont="1" applyFill="1" applyBorder="1"/>
    <xf numFmtId="0" fontId="4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164" fontId="4" fillId="2" borderId="0" xfId="1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1" fillId="0" borderId="0" xfId="0" applyFont="1" applyBorder="1"/>
    <xf numFmtId="164" fontId="12" fillId="2" borderId="0" xfId="1" applyNumberFormat="1" applyFont="1" applyFill="1" applyBorder="1" applyAlignment="1">
      <alignment horizontal="left"/>
    </xf>
    <xf numFmtId="0" fontId="9" fillId="2" borderId="0" xfId="0" quotePrefix="1" applyFont="1" applyFill="1" applyBorder="1" applyAlignment="1"/>
    <xf numFmtId="43" fontId="8" fillId="2" borderId="6" xfId="1" applyFont="1" applyFill="1" applyBorder="1" applyAlignment="1">
      <alignment wrapText="1"/>
    </xf>
    <xf numFmtId="43" fontId="8" fillId="2" borderId="6" xfId="1" applyFont="1" applyFill="1" applyBorder="1"/>
    <xf numFmtId="164" fontId="12" fillId="2" borderId="0" xfId="1" applyNumberFormat="1" applyFont="1" applyFill="1" applyBorder="1" applyAlignment="1"/>
    <xf numFmtId="43" fontId="4" fillId="3" borderId="8" xfId="1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2" fontId="3" fillId="3" borderId="12" xfId="1" applyNumberFormat="1" applyFont="1" applyFill="1" applyBorder="1" applyAlignment="1">
      <alignment horizontal="center" vertical="center"/>
    </xf>
    <xf numFmtId="43" fontId="8" fillId="2" borderId="6" xfId="1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/>
    <xf numFmtId="0" fontId="4" fillId="3" borderId="8" xfId="0" applyFont="1" applyFill="1" applyBorder="1" applyAlignment="1">
      <alignment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vertical="center"/>
    </xf>
    <xf numFmtId="0" fontId="15" fillId="2" borderId="5" xfId="0" applyFont="1" applyFill="1" applyBorder="1" applyAlignment="1">
      <alignment wrapText="1"/>
    </xf>
    <xf numFmtId="3" fontId="8" fillId="2" borderId="6" xfId="0" applyNumberFormat="1" applyFont="1" applyFill="1" applyBorder="1"/>
    <xf numFmtId="4" fontId="16" fillId="0" borderId="0" xfId="0" applyNumberFormat="1" applyFont="1"/>
    <xf numFmtId="4" fontId="8" fillId="2" borderId="6" xfId="0" applyNumberFormat="1" applyFont="1" applyFill="1" applyBorder="1"/>
    <xf numFmtId="1" fontId="8" fillId="2" borderId="6" xfId="0" applyNumberFormat="1" applyFont="1" applyFill="1" applyBorder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horizontal="center" vertical="center"/>
    </xf>
    <xf numFmtId="164" fontId="15" fillId="2" borderId="5" xfId="1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vertical="center"/>
    </xf>
    <xf numFmtId="164" fontId="15" fillId="2" borderId="6" xfId="1" applyNumberFormat="1" applyFont="1" applyFill="1" applyBorder="1" applyAlignment="1">
      <alignment vertical="center"/>
    </xf>
    <xf numFmtId="0" fontId="15" fillId="2" borderId="6" xfId="0" applyFont="1" applyFill="1" applyBorder="1" applyAlignment="1">
      <alignment vertical="center" wrapText="1"/>
    </xf>
    <xf numFmtId="0" fontId="18" fillId="3" borderId="14" xfId="0" applyFont="1" applyFill="1" applyBorder="1" applyAlignment="1">
      <alignment vertical="center"/>
    </xf>
    <xf numFmtId="164" fontId="18" fillId="3" borderId="8" xfId="1" applyNumberFormat="1" applyFont="1" applyFill="1" applyBorder="1" applyAlignment="1">
      <alignment horizontal="center" vertical="center"/>
    </xf>
    <xf numFmtId="3" fontId="15" fillId="2" borderId="6" xfId="0" applyNumberFormat="1" applyFont="1" applyFill="1" applyBorder="1" applyAlignment="1">
      <alignment vertical="center"/>
    </xf>
    <xf numFmtId="4" fontId="16" fillId="0" borderId="0" xfId="0" applyNumberFormat="1" applyFont="1" applyAlignment="1">
      <alignment vertical="center"/>
    </xf>
    <xf numFmtId="4" fontId="15" fillId="2" borderId="6" xfId="0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164" fontId="18" fillId="2" borderId="6" xfId="1" applyNumberFormat="1" applyFont="1" applyFill="1" applyBorder="1" applyAlignment="1">
      <alignment vertical="center"/>
    </xf>
    <xf numFmtId="43" fontId="18" fillId="2" borderId="6" xfId="1" applyFont="1" applyFill="1" applyBorder="1" applyAlignment="1">
      <alignment vertical="center"/>
    </xf>
    <xf numFmtId="0" fontId="18" fillId="2" borderId="6" xfId="0" applyFont="1" applyFill="1" applyBorder="1" applyAlignment="1">
      <alignment vertical="center"/>
    </xf>
    <xf numFmtId="1" fontId="18" fillId="2" borderId="6" xfId="0" applyNumberFormat="1" applyFont="1" applyFill="1" applyBorder="1" applyAlignment="1">
      <alignment vertical="center"/>
    </xf>
    <xf numFmtId="2" fontId="18" fillId="2" borderId="6" xfId="0" applyNumberFormat="1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3" fontId="7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165" fontId="17" fillId="0" borderId="0" xfId="0" applyNumberFormat="1" applyFont="1" applyAlignment="1">
      <alignment vertical="center"/>
    </xf>
    <xf numFmtId="43" fontId="18" fillId="3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top" wrapText="1"/>
    </xf>
    <xf numFmtId="43" fontId="18" fillId="2" borderId="6" xfId="1" applyFont="1" applyFill="1" applyBorder="1" applyAlignment="1">
      <alignment horizontal="right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8" fillId="2" borderId="13" xfId="0" applyFont="1" applyFill="1" applyBorder="1"/>
    <xf numFmtId="164" fontId="8" fillId="2" borderId="13" xfId="1" applyNumberFormat="1" applyFont="1" applyFill="1" applyBorder="1"/>
    <xf numFmtId="164" fontId="18" fillId="3" borderId="15" xfId="1" applyNumberFormat="1" applyFont="1" applyFill="1" applyBorder="1" applyAlignment="1">
      <alignment horizontal="center" vertical="center"/>
    </xf>
    <xf numFmtId="164" fontId="18" fillId="3" borderId="14" xfId="1" applyNumberFormat="1" applyFont="1" applyFill="1" applyBorder="1" applyAlignment="1">
      <alignment horizontal="center" vertical="center"/>
    </xf>
    <xf numFmtId="164" fontId="18" fillId="2" borderId="6" xfId="1" applyNumberFormat="1" applyFont="1" applyFill="1" applyBorder="1" applyAlignment="1">
      <alignment vertical="center" wrapText="1"/>
    </xf>
    <xf numFmtId="164" fontId="18" fillId="2" borderId="6" xfId="0" applyNumberFormat="1" applyFont="1" applyFill="1" applyBorder="1" applyAlignment="1">
      <alignment vertical="center" wrapText="1"/>
    </xf>
    <xf numFmtId="3" fontId="17" fillId="0" borderId="0" xfId="0" applyNumberFormat="1" applyFont="1" applyAlignment="1">
      <alignment vertical="center"/>
    </xf>
    <xf numFmtId="43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/>
    <xf numFmtId="0" fontId="17" fillId="0" borderId="0" xfId="0" applyFont="1" applyFill="1" applyBorder="1"/>
    <xf numFmtId="164" fontId="18" fillId="0" borderId="0" xfId="1" applyNumberFormat="1" applyFont="1" applyFill="1" applyBorder="1"/>
    <xf numFmtId="2" fontId="17" fillId="0" borderId="0" xfId="0" applyNumberFormat="1" applyFont="1"/>
    <xf numFmtId="0" fontId="17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Font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0" borderId="0" xfId="0" applyNumberFormat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4" borderId="0" xfId="0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6" fontId="18" fillId="2" borderId="6" xfId="1" applyNumberFormat="1" applyFont="1" applyFill="1" applyBorder="1" applyAlignment="1">
      <alignment vertical="center" wrapText="1"/>
    </xf>
    <xf numFmtId="166" fontId="18" fillId="2" borderId="6" xfId="1" applyNumberFormat="1" applyFont="1" applyFill="1" applyBorder="1" applyAlignment="1">
      <alignment vertical="center"/>
    </xf>
    <xf numFmtId="166" fontId="18" fillId="3" borderId="8" xfId="1" applyNumberFormat="1" applyFont="1" applyFill="1" applyBorder="1" applyAlignment="1">
      <alignment horizontal="center" vertical="center"/>
    </xf>
    <xf numFmtId="166" fontId="18" fillId="3" borderId="15" xfId="1" applyNumberFormat="1" applyFont="1" applyFill="1" applyBorder="1" applyAlignment="1">
      <alignment horizontal="center"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5" fillId="2" borderId="6" xfId="1" applyFont="1" applyFill="1" applyBorder="1" applyAlignment="1">
      <alignment vertical="center"/>
    </xf>
    <xf numFmtId="43" fontId="15" fillId="2" borderId="6" xfId="0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1" applyNumberFormat="1" applyFont="1" applyFill="1" applyBorder="1" applyAlignment="1">
      <alignment vertical="center" wrapText="1"/>
    </xf>
    <xf numFmtId="164" fontId="15" fillId="2" borderId="6" xfId="0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 wrapText="1"/>
    </xf>
    <xf numFmtId="166" fontId="15" fillId="2" borderId="6" xfId="1" applyNumberFormat="1" applyFont="1" applyFill="1" applyBorder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15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/>
    <xf numFmtId="164" fontId="8" fillId="2" borderId="13" xfId="0" applyNumberFormat="1" applyFont="1" applyFill="1" applyBorder="1"/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9" fillId="0" borderId="0" xfId="1" applyFont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43" fontId="17" fillId="4" borderId="0" xfId="1" applyFont="1" applyFill="1" applyAlignment="1">
      <alignment vertic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0" fillId="0" borderId="16" xfId="0" applyFont="1" applyBorder="1" applyAlignment="1">
      <alignment vertical="center" wrapText="1"/>
    </xf>
    <xf numFmtId="0" fontId="20" fillId="0" borderId="17" xfId="0" applyFont="1" applyBorder="1" applyAlignment="1">
      <alignment horizontal="right" vertical="center" wrapText="1"/>
    </xf>
    <xf numFmtId="0" fontId="21" fillId="0" borderId="17" xfId="0" applyFont="1" applyBorder="1" applyAlignment="1">
      <alignment horizontal="right" vertical="center" wrapText="1"/>
    </xf>
    <xf numFmtId="0" fontId="22" fillId="0" borderId="16" xfId="0" applyFont="1" applyBorder="1" applyAlignment="1">
      <alignment horizontal="right" vertical="center" wrapText="1"/>
    </xf>
    <xf numFmtId="0" fontId="23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0" fillId="0" borderId="12" xfId="0" applyFont="1" applyBorder="1" applyAlignment="1">
      <alignment horizontal="right" vertical="center" wrapText="1"/>
    </xf>
    <xf numFmtId="0" fontId="20" fillId="0" borderId="12" xfId="0" applyFont="1" applyBorder="1" applyAlignment="1">
      <alignment vertical="center" wrapText="1"/>
    </xf>
    <xf numFmtId="0" fontId="25" fillId="0" borderId="12" xfId="0" applyFont="1" applyBorder="1" applyAlignment="1">
      <alignment horizontal="right" vertical="center" wrapText="1"/>
    </xf>
    <xf numFmtId="0" fontId="26" fillId="0" borderId="12" xfId="0" applyFont="1" applyBorder="1" applyAlignment="1">
      <alignment vertical="center" wrapText="1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3" fillId="3" borderId="2" xfId="1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64" fontId="12" fillId="2" borderId="0" xfId="1" applyNumberFormat="1" applyFont="1" applyFill="1" applyBorder="1" applyAlignment="1">
      <alignment horizontal="center"/>
    </xf>
    <xf numFmtId="0" fontId="9" fillId="2" borderId="0" xfId="0" quotePrefix="1" applyFont="1" applyFill="1" applyBorder="1" applyAlignment="1">
      <alignment horizontal="center"/>
    </xf>
    <xf numFmtId="164" fontId="3" fillId="3" borderId="12" xfId="1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5" fillId="4" borderId="6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vertical="center" wrapText="1"/>
    </xf>
    <xf numFmtId="164" fontId="15" fillId="4" borderId="6" xfId="1" applyNumberFormat="1" applyFont="1" applyFill="1" applyBorder="1" applyAlignment="1">
      <alignment vertical="center" wrapText="1"/>
    </xf>
    <xf numFmtId="164" fontId="15" fillId="4" borderId="6" xfId="0" applyNumberFormat="1" applyFont="1" applyFill="1" applyBorder="1" applyAlignment="1">
      <alignment vertical="center" wrapText="1"/>
    </xf>
    <xf numFmtId="164" fontId="15" fillId="4" borderId="6" xfId="1" applyNumberFormat="1" applyFont="1" applyFill="1" applyBorder="1" applyAlignment="1">
      <alignment vertical="center"/>
    </xf>
    <xf numFmtId="0" fontId="15" fillId="4" borderId="6" xfId="0" applyFont="1" applyFill="1" applyBorder="1" applyAlignment="1">
      <alignment vertical="center"/>
    </xf>
    <xf numFmtId="164" fontId="15" fillId="4" borderId="6" xfId="0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2</xdr:row>
      <xdr:rowOff>80855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605337" cy="7515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328203</xdr:colOff>
      <xdr:row>0</xdr:row>
      <xdr:rowOff>0</xdr:rowOff>
    </xdr:from>
    <xdr:to>
      <xdr:col>2</xdr:col>
      <xdr:colOff>1277136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3" y="0"/>
          <a:ext cx="1577583" cy="755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87573</xdr:colOff>
      <xdr:row>0</xdr:row>
      <xdr:rowOff>0</xdr:rowOff>
    </xdr:from>
    <xdr:to>
      <xdr:col>2</xdr:col>
      <xdr:colOff>822159</xdr:colOff>
      <xdr:row>1</xdr:row>
      <xdr:rowOff>421750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8415" y="0"/>
          <a:ext cx="1035376" cy="75261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8204" y="20052"/>
          <a:ext cx="1235902" cy="7118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561975</xdr:colOff>
      <xdr:row>35</xdr:row>
      <xdr:rowOff>133350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702" t="4818" b="6759"/>
        <a:stretch/>
      </xdr:blipFill>
      <xdr:spPr>
        <a:xfrm>
          <a:off x="0" y="0"/>
          <a:ext cx="8486775" cy="68008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792080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7362</xdr:colOff>
      <xdr:row>0</xdr:row>
      <xdr:rowOff>20052</xdr:rowOff>
    </xdr:from>
    <xdr:to>
      <xdr:col>2</xdr:col>
      <xdr:colOff>858755</xdr:colOff>
      <xdr:row>2</xdr:row>
      <xdr:rowOff>100263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212" y="20052"/>
          <a:ext cx="1232393" cy="71838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1002</xdr:rowOff>
    </xdr:from>
    <xdr:to>
      <xdr:col>2</xdr:col>
      <xdr:colOff>1011155</xdr:colOff>
      <xdr:row>2</xdr:row>
      <xdr:rowOff>81213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2"/>
          <a:ext cx="1232393" cy="7183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169287</xdr:colOff>
      <xdr:row>0</xdr:row>
      <xdr:rowOff>10526</xdr:rowOff>
    </xdr:from>
    <xdr:to>
      <xdr:col>2</xdr:col>
      <xdr:colOff>1110121</xdr:colOff>
      <xdr:row>2</xdr:row>
      <xdr:rowOff>142874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137" y="10526"/>
          <a:ext cx="1321834" cy="770523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159762</xdr:colOff>
      <xdr:row>0</xdr:row>
      <xdr:rowOff>1001</xdr:rowOff>
    </xdr:from>
    <xdr:to>
      <xdr:col>2</xdr:col>
      <xdr:colOff>1100596</xdr:colOff>
      <xdr:row>2</xdr:row>
      <xdr:rowOff>133349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612" y="1001"/>
          <a:ext cx="1321834" cy="77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7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8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2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21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66"/>
  <sheetViews>
    <sheetView topLeftCell="A7" zoomScale="95" zoomScaleNormal="95" workbookViewId="0">
      <selection activeCell="C22" sqref="C22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35.5703125" style="8" customWidth="1"/>
    <col min="4" max="4" width="17.28515625" style="8" customWidth="1"/>
    <col min="5" max="5" width="10.710937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7.75" x14ac:dyDescent="0.4">
      <c r="F1" s="33" t="s">
        <v>0</v>
      </c>
      <c r="G1" s="31"/>
      <c r="H1" s="32"/>
    </row>
    <row r="2" spans="2:25" s="29" customFormat="1" ht="25.5" x14ac:dyDescent="0.35">
      <c r="C2" s="28"/>
      <c r="D2" s="28"/>
      <c r="E2" s="28"/>
      <c r="F2" s="34" t="s">
        <v>18</v>
      </c>
      <c r="G2" s="28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14" t="s">
        <v>9</v>
      </c>
      <c r="Y4" s="215"/>
    </row>
    <row r="5" spans="2:25" s="1" customFormat="1" ht="15.75" x14ac:dyDescent="0.25">
      <c r="B5" s="219"/>
      <c r="C5" s="21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X45" si="0">F8+H8+J8+L8+N8+P8+R8+T8+V8</f>
        <v>0</v>
      </c>
      <c r="Y8" s="15">
        <f t="shared" ref="Y8:Y45" si="1">G8+I8+K8+M8+O8+Q8+S8+U8+W8</f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1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1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1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1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1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1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1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1"/>
        <v>0</v>
      </c>
    </row>
    <row r="17" spans="2:25" x14ac:dyDescent="0.2">
      <c r="B17" s="13">
        <v>12</v>
      </c>
      <c r="C17" s="17" t="s">
        <v>53</v>
      </c>
      <c r="D17" s="17"/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1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1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1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1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1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1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1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1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1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1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1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1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1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ref="X30:X44" si="2">F30+H30+J30+L30+N30+P30+R30+T30+V30</f>
        <v>0</v>
      </c>
      <c r="Y30" s="15">
        <f t="shared" ref="Y30:Y44" si="3">G30+I30+K30+M30+O30+Q30+S30+U30+W30</f>
        <v>0</v>
      </c>
    </row>
    <row r="31" spans="2:25" x14ac:dyDescent="0.2">
      <c r="B31" s="13">
        <v>26</v>
      </c>
      <c r="C31" s="14" t="s">
        <v>54</v>
      </c>
      <c r="D31" s="14"/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2"/>
        <v>0</v>
      </c>
      <c r="Y31" s="15">
        <f t="shared" si="3"/>
        <v>0</v>
      </c>
    </row>
    <row r="32" spans="2:25" x14ac:dyDescent="0.2">
      <c r="B32" s="13">
        <v>27</v>
      </c>
      <c r="C32" s="14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2"/>
        <v>0</v>
      </c>
      <c r="Y32" s="15">
        <f t="shared" si="3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2"/>
        <v>0</v>
      </c>
      <c r="Y33" s="15">
        <f t="shared" si="3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2"/>
        <v>0</v>
      </c>
      <c r="Y34" s="15">
        <f t="shared" si="3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2"/>
        <v>0</v>
      </c>
      <c r="Y35" s="15">
        <f t="shared" si="3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2"/>
        <v>0</v>
      </c>
      <c r="Y36" s="15">
        <f t="shared" si="3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2"/>
        <v>0</v>
      </c>
      <c r="Y37" s="15">
        <f t="shared" si="3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2"/>
        <v>0</v>
      </c>
      <c r="Y38" s="15">
        <f t="shared" si="3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2"/>
        <v>0</v>
      </c>
      <c r="Y39" s="15">
        <f t="shared" si="3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2"/>
        <v>0</v>
      </c>
      <c r="Y40" s="15">
        <f t="shared" si="3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2"/>
        <v>0</v>
      </c>
      <c r="Y41" s="15">
        <f t="shared" si="3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2"/>
        <v>0</v>
      </c>
      <c r="Y42" s="15">
        <f t="shared" si="3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2"/>
        <v>0</v>
      </c>
      <c r="Y43" s="15">
        <f t="shared" si="3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2"/>
        <v>0</v>
      </c>
      <c r="Y44" s="15">
        <f t="shared" si="3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1"/>
        <v>0</v>
      </c>
    </row>
    <row r="46" spans="2:25" ht="13.5" thickBot="1" x14ac:dyDescent="0.25">
      <c r="B46" s="21"/>
      <c r="C46" s="22" t="s">
        <v>14</v>
      </c>
      <c r="D46" s="22"/>
      <c r="E46" s="22"/>
      <c r="F46" s="23">
        <f>SUM(F6:F45)</f>
        <v>0</v>
      </c>
      <c r="G46" s="23">
        <f t="shared" ref="G46:Y46" si="4">SUM(G6:G45)</f>
        <v>0</v>
      </c>
      <c r="H46" s="23">
        <f t="shared" si="4"/>
        <v>0</v>
      </c>
      <c r="I46" s="23">
        <f t="shared" si="4"/>
        <v>0</v>
      </c>
      <c r="J46" s="23">
        <f t="shared" si="4"/>
        <v>0</v>
      </c>
      <c r="K46" s="23">
        <f t="shared" si="4"/>
        <v>0</v>
      </c>
      <c r="L46" s="23">
        <f t="shared" si="4"/>
        <v>0</v>
      </c>
      <c r="M46" s="23">
        <f t="shared" si="4"/>
        <v>0</v>
      </c>
      <c r="N46" s="23">
        <f t="shared" si="4"/>
        <v>0</v>
      </c>
      <c r="O46" s="23">
        <f t="shared" si="4"/>
        <v>0</v>
      </c>
      <c r="P46" s="23">
        <f t="shared" si="4"/>
        <v>0</v>
      </c>
      <c r="Q46" s="23">
        <f t="shared" si="4"/>
        <v>0</v>
      </c>
      <c r="R46" s="23">
        <f t="shared" si="4"/>
        <v>0</v>
      </c>
      <c r="S46" s="23">
        <f t="shared" si="4"/>
        <v>0</v>
      </c>
      <c r="T46" s="23">
        <f t="shared" si="4"/>
        <v>0</v>
      </c>
      <c r="U46" s="23">
        <f t="shared" si="4"/>
        <v>0</v>
      </c>
      <c r="V46" s="23">
        <f t="shared" si="4"/>
        <v>0</v>
      </c>
      <c r="W46" s="23">
        <f t="shared" si="4"/>
        <v>0</v>
      </c>
      <c r="X46" s="23">
        <f t="shared" si="4"/>
        <v>0</v>
      </c>
      <c r="Y46" s="23">
        <f t="shared" si="4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23</v>
      </c>
      <c r="J51" s="213" t="s">
        <v>23</v>
      </c>
      <c r="K51" s="213"/>
      <c r="L51" s="213"/>
      <c r="R51" s="8" t="s">
        <v>23</v>
      </c>
      <c r="U51" s="24"/>
      <c r="V51" s="24"/>
      <c r="W51" s="24"/>
      <c r="X51" s="24"/>
      <c r="Y51" s="24"/>
    </row>
    <row r="52" spans="3:25" x14ac:dyDescent="0.2">
      <c r="C52" s="8" t="s">
        <v>24</v>
      </c>
      <c r="J52" s="213" t="s">
        <v>55</v>
      </c>
      <c r="K52" s="213"/>
      <c r="L52" s="213"/>
      <c r="R52" s="8" t="s">
        <v>24</v>
      </c>
      <c r="U52" s="24"/>
      <c r="V52" s="24"/>
      <c r="W52" s="24"/>
      <c r="X52" s="24"/>
      <c r="Y52" s="24"/>
    </row>
    <row r="53" spans="3:25" x14ac:dyDescent="0.2">
      <c r="C53" s="8" t="s">
        <v>25</v>
      </c>
      <c r="J53" s="213" t="s">
        <v>25</v>
      </c>
      <c r="K53" s="213"/>
      <c r="L53" s="213"/>
      <c r="R53" s="8" t="s">
        <v>25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6">
    <mergeCell ref="B4:B5"/>
    <mergeCell ref="C4:C5"/>
    <mergeCell ref="H4:I4"/>
    <mergeCell ref="N4:O4"/>
    <mergeCell ref="P4:Q4"/>
    <mergeCell ref="D4:E4"/>
    <mergeCell ref="J51:L51"/>
    <mergeCell ref="J52:L52"/>
    <mergeCell ref="J53:L53"/>
    <mergeCell ref="X4:Y4"/>
    <mergeCell ref="F4:G4"/>
    <mergeCell ref="J4:K4"/>
    <mergeCell ref="L4:M4"/>
    <mergeCell ref="R4:S4"/>
    <mergeCell ref="V4:W4"/>
    <mergeCell ref="T4:U4"/>
  </mergeCells>
  <pageMargins left="0" right="0" top="0" bottom="0" header="0" footer="0"/>
  <pageSetup paperSize="9" scale="55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27" zoomScale="95" zoomScaleNormal="95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2" t="s">
        <v>0</v>
      </c>
      <c r="C1" s="222"/>
      <c r="D1" s="222"/>
      <c r="E1" s="222"/>
      <c r="F1" s="37"/>
      <c r="G1" s="37"/>
      <c r="H1" s="32"/>
    </row>
    <row r="2" spans="2:25" s="29" customFormat="1" ht="34.5" customHeight="1" x14ac:dyDescent="0.35">
      <c r="B2" s="223" t="s">
        <v>57</v>
      </c>
      <c r="C2" s="223"/>
      <c r="D2" s="223"/>
      <c r="E2" s="223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14" t="s">
        <v>9</v>
      </c>
      <c r="Y4" s="215"/>
    </row>
    <row r="5" spans="2:25" s="1" customFormat="1" ht="15.75" x14ac:dyDescent="0.25">
      <c r="B5" s="219"/>
      <c r="C5" s="21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36">
        <v>30000</v>
      </c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1000000+500000</f>
        <v>1500000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100000+1000000</f>
        <v>1100000</v>
      </c>
      <c r="E31" s="14">
        <f>13900*2</f>
        <v>27800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2630000</v>
      </c>
      <c r="E46" s="23">
        <f>SUM(E6:E45)</f>
        <v>27800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13" t="s">
        <v>61</v>
      </c>
      <c r="E51" s="213"/>
      <c r="F51" s="21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13" t="s">
        <v>60</v>
      </c>
      <c r="E52" s="213"/>
      <c r="F52" s="21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13" t="s">
        <v>59</v>
      </c>
      <c r="E53" s="213"/>
      <c r="F53" s="21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18" zoomScale="95" zoomScaleNormal="95" workbookViewId="0">
      <selection activeCell="D46" sqref="D46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2" t="s">
        <v>0</v>
      </c>
      <c r="C1" s="222"/>
      <c r="D1" s="222"/>
      <c r="E1" s="222"/>
      <c r="F1" s="37"/>
      <c r="G1" s="37"/>
      <c r="H1" s="32"/>
    </row>
    <row r="2" spans="2:25" s="29" customFormat="1" ht="34.5" customHeight="1" x14ac:dyDescent="0.35">
      <c r="B2" s="223" t="s">
        <v>66</v>
      </c>
      <c r="C2" s="223"/>
      <c r="D2" s="223"/>
      <c r="E2" s="223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14" t="s">
        <v>9</v>
      </c>
      <c r="Y4" s="215"/>
    </row>
    <row r="5" spans="2:25" s="1" customFormat="1" ht="15.75" x14ac:dyDescent="0.25">
      <c r="B5" s="219"/>
      <c r="C5" s="21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950000+60000</f>
        <v>1010000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1000000+58834.55+7000</f>
        <v>1065834.55</v>
      </c>
      <c r="E31" s="14">
        <f>204.25+459.67</f>
        <v>663.92000000000007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2075834.55</v>
      </c>
      <c r="E46" s="38">
        <f>SUM(E6:E45)</f>
        <v>663.92000000000007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13" t="s">
        <v>61</v>
      </c>
      <c r="E51" s="213"/>
      <c r="F51" s="21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13" t="s">
        <v>60</v>
      </c>
      <c r="E52" s="213"/>
      <c r="F52" s="21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13" t="s">
        <v>59</v>
      </c>
      <c r="E53" s="213"/>
      <c r="F53" s="21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D17" zoomScale="95" zoomScaleNormal="95" workbookViewId="0">
      <selection activeCell="R51" sqref="R51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2" t="s">
        <v>0</v>
      </c>
      <c r="C1" s="222"/>
      <c r="D1" s="222"/>
      <c r="E1" s="222"/>
      <c r="F1" s="37"/>
      <c r="G1" s="37"/>
      <c r="H1" s="32"/>
    </row>
    <row r="2" spans="2:25" s="29" customFormat="1" ht="34.5" customHeight="1" x14ac:dyDescent="0.35">
      <c r="B2" s="223" t="s">
        <v>67</v>
      </c>
      <c r="C2" s="223"/>
      <c r="D2" s="223"/>
      <c r="E2" s="223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14" t="s">
        <v>9</v>
      </c>
      <c r="Y4" s="215"/>
    </row>
    <row r="5" spans="2:25" s="1" customFormat="1" ht="15.75" x14ac:dyDescent="0.25">
      <c r="B5" s="219"/>
      <c r="C5" s="21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800000+60000</f>
        <v>860000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500000+19273.38+190000</f>
        <v>709273.38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1569273.38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13" t="s">
        <v>68</v>
      </c>
      <c r="E51" s="213"/>
      <c r="F51" s="21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13" t="s">
        <v>60</v>
      </c>
      <c r="E52" s="213"/>
      <c r="F52" s="21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13" t="s">
        <v>59</v>
      </c>
      <c r="E53" s="213"/>
      <c r="F53" s="21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B1:E1"/>
    <mergeCell ref="B2:E2"/>
    <mergeCell ref="B4:B5"/>
    <mergeCell ref="C4:C5"/>
    <mergeCell ref="D4:E4"/>
    <mergeCell ref="D53:F53"/>
    <mergeCell ref="H4:I4"/>
    <mergeCell ref="J4:K4"/>
    <mergeCell ref="L4:M4"/>
    <mergeCell ref="N4:O4"/>
    <mergeCell ref="F4:G4"/>
    <mergeCell ref="T4:U4"/>
    <mergeCell ref="V4:W4"/>
    <mergeCell ref="X4:Y4"/>
    <mergeCell ref="D51:F51"/>
    <mergeCell ref="D52:F52"/>
    <mergeCell ref="P4:Q4"/>
    <mergeCell ref="R4:S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3" zoomScale="95" zoomScaleNormal="95" workbookViewId="0">
      <selection activeCell="K47" sqref="K47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68.7109375" style="8" customWidth="1"/>
    <col min="4" max="4" width="17.85546875" style="8" customWidth="1"/>
    <col min="5" max="5" width="15.5703125" style="8" customWidth="1"/>
    <col min="6" max="7" width="10.5703125" style="26" customWidth="1"/>
    <col min="8" max="25" width="10.5703125" style="8" customWidth="1"/>
    <col min="26" max="16384" width="9.140625" style="8"/>
  </cols>
  <sheetData>
    <row r="1" spans="2:25" s="29" customFormat="1" ht="26.25" customHeight="1" x14ac:dyDescent="0.4">
      <c r="B1" s="222" t="s">
        <v>0</v>
      </c>
      <c r="C1" s="222"/>
      <c r="D1" s="222"/>
      <c r="E1" s="222"/>
      <c r="F1" s="37"/>
      <c r="G1" s="37"/>
      <c r="H1" s="32"/>
    </row>
    <row r="2" spans="2:25" s="29" customFormat="1" ht="34.5" customHeight="1" x14ac:dyDescent="0.35">
      <c r="B2" s="223" t="s">
        <v>69</v>
      </c>
      <c r="C2" s="223"/>
      <c r="D2" s="223"/>
      <c r="E2" s="223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14" t="s">
        <v>9</v>
      </c>
      <c r="Y4" s="215"/>
    </row>
    <row r="5" spans="2:25" s="1" customFormat="1" ht="15.75" x14ac:dyDescent="0.25">
      <c r="B5" s="219"/>
      <c r="C5" s="21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1000000+190120</f>
        <v>1190120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2090120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13" t="s">
        <v>68</v>
      </c>
      <c r="E51" s="213"/>
      <c r="F51" s="21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13" t="s">
        <v>60</v>
      </c>
      <c r="E52" s="213"/>
      <c r="F52" s="21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13" t="s">
        <v>59</v>
      </c>
      <c r="E53" s="213"/>
      <c r="F53" s="21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Y66"/>
  <sheetViews>
    <sheetView topLeftCell="A31" zoomScale="95" zoomScaleNormal="9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4.5703125" style="8" customWidth="1"/>
    <col min="3" max="3" width="54.28515625" style="8" customWidth="1"/>
    <col min="4" max="4" width="14" style="8" customWidth="1"/>
    <col min="5" max="5" width="15.5703125" style="8" customWidth="1"/>
    <col min="6" max="7" width="10.5703125" style="26" hidden="1" customWidth="1"/>
    <col min="8" max="23" width="10.5703125" style="8" hidden="1" customWidth="1"/>
    <col min="24" max="25" width="10.5703125" style="8" customWidth="1"/>
    <col min="26" max="16384" width="9.140625" style="8"/>
  </cols>
  <sheetData>
    <row r="1" spans="2:25" s="29" customFormat="1" ht="26.25" customHeight="1" x14ac:dyDescent="0.4">
      <c r="B1" s="222" t="s">
        <v>0</v>
      </c>
      <c r="C1" s="222"/>
      <c r="D1" s="222"/>
      <c r="E1" s="222"/>
      <c r="F1" s="37"/>
      <c r="G1" s="37"/>
      <c r="H1" s="32"/>
    </row>
    <row r="2" spans="2:25" s="29" customFormat="1" ht="34.5" customHeight="1" x14ac:dyDescent="0.35">
      <c r="B2" s="223" t="s">
        <v>70</v>
      </c>
      <c r="C2" s="223"/>
      <c r="D2" s="223"/>
      <c r="E2" s="223"/>
      <c r="F2" s="34"/>
      <c r="G2" s="34"/>
      <c r="H2" s="5"/>
      <c r="I2" s="5"/>
      <c r="J2" s="6"/>
      <c r="K2" s="6"/>
      <c r="M2" s="7"/>
      <c r="N2" s="30"/>
      <c r="O2" s="30"/>
      <c r="P2" s="6"/>
      <c r="Q2" s="7"/>
      <c r="R2" s="30"/>
      <c r="S2" s="30"/>
      <c r="T2" s="30"/>
      <c r="U2" s="30"/>
      <c r="V2" s="30"/>
      <c r="W2" s="30"/>
      <c r="X2" s="30"/>
      <c r="Y2" s="30"/>
    </row>
    <row r="3" spans="2:25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5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14" t="s">
        <v>9</v>
      </c>
      <c r="Y4" s="215"/>
    </row>
    <row r="5" spans="2:25" s="1" customFormat="1" ht="15.75" x14ac:dyDescent="0.25">
      <c r="B5" s="219"/>
      <c r="C5" s="219"/>
      <c r="D5" s="2" t="s">
        <v>10</v>
      </c>
      <c r="E5" s="2" t="s">
        <v>19</v>
      </c>
      <c r="F5" s="2" t="s">
        <v>10</v>
      </c>
      <c r="G5" s="2" t="s">
        <v>19</v>
      </c>
      <c r="H5" s="2" t="s">
        <v>10</v>
      </c>
      <c r="I5" s="2" t="s">
        <v>19</v>
      </c>
      <c r="J5" s="2" t="s">
        <v>10</v>
      </c>
      <c r="K5" s="2" t="s">
        <v>19</v>
      </c>
      <c r="L5" s="2" t="s">
        <v>10</v>
      </c>
      <c r="M5" s="2" t="s">
        <v>19</v>
      </c>
      <c r="N5" s="2" t="s">
        <v>10</v>
      </c>
      <c r="O5" s="2" t="s">
        <v>19</v>
      </c>
      <c r="P5" s="2" t="s">
        <v>10</v>
      </c>
      <c r="Q5" s="2" t="s">
        <v>19</v>
      </c>
      <c r="R5" s="2" t="s">
        <v>10</v>
      </c>
      <c r="S5" s="2" t="s">
        <v>19</v>
      </c>
      <c r="T5" s="2" t="s">
        <v>10</v>
      </c>
      <c r="U5" s="2" t="s">
        <v>19</v>
      </c>
      <c r="V5" s="2" t="s">
        <v>10</v>
      </c>
      <c r="W5" s="2" t="s">
        <v>19</v>
      </c>
      <c r="X5" s="3" t="s">
        <v>10</v>
      </c>
      <c r="Y5" s="3" t="s">
        <v>11</v>
      </c>
    </row>
    <row r="6" spans="2:25" x14ac:dyDescent="0.2">
      <c r="B6" s="9">
        <v>1</v>
      </c>
      <c r="C6" s="10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>
        <f>F6+H6+J6+L6+N6+P6+R6+T6+V6</f>
        <v>0</v>
      </c>
      <c r="Y6" s="11">
        <f>G6+I6+K6+M6+O6+Q6+S6+U6+W6</f>
        <v>0</v>
      </c>
    </row>
    <row r="7" spans="2:25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>
        <f>F7+H7+J7+L7+N7+P7+R7+T7+V7</f>
        <v>0</v>
      </c>
      <c r="Y7" s="15">
        <f>G7+I7+K7+M7+O7+Q7+S7+U7+W7</f>
        <v>0</v>
      </c>
    </row>
    <row r="8" spans="2:25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>
        <f t="shared" ref="X8:Y45" si="0">F8+H8+J8+L8+N8+P8+R8+T8+V8</f>
        <v>0</v>
      </c>
      <c r="Y8" s="15">
        <f t="shared" si="0"/>
        <v>0</v>
      </c>
    </row>
    <row r="9" spans="2:25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>
        <f t="shared" si="0"/>
        <v>0</v>
      </c>
      <c r="Y9" s="15">
        <f t="shared" si="0"/>
        <v>0</v>
      </c>
    </row>
    <row r="10" spans="2:25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>
        <f t="shared" si="0"/>
        <v>0</v>
      </c>
      <c r="Y10" s="15">
        <f t="shared" si="0"/>
        <v>0</v>
      </c>
    </row>
    <row r="11" spans="2:25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f t="shared" si="0"/>
        <v>0</v>
      </c>
      <c r="Y11" s="15">
        <f t="shared" si="0"/>
        <v>0</v>
      </c>
    </row>
    <row r="12" spans="2:25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f t="shared" si="0"/>
        <v>0</v>
      </c>
      <c r="Y12" s="15">
        <f t="shared" si="0"/>
        <v>0</v>
      </c>
    </row>
    <row r="13" spans="2:25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>
        <f t="shared" si="0"/>
        <v>0</v>
      </c>
      <c r="Y13" s="15">
        <f t="shared" si="0"/>
        <v>0</v>
      </c>
    </row>
    <row r="14" spans="2:25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>
        <f t="shared" si="0"/>
        <v>0</v>
      </c>
      <c r="Y14" s="15">
        <f t="shared" si="0"/>
        <v>0</v>
      </c>
    </row>
    <row r="15" spans="2:25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>
        <f t="shared" si="0"/>
        <v>0</v>
      </c>
      <c r="Y15" s="15">
        <f t="shared" si="0"/>
        <v>0</v>
      </c>
    </row>
    <row r="16" spans="2:25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>
        <f t="shared" si="0"/>
        <v>0</v>
      </c>
      <c r="Y16" s="15">
        <f t="shared" si="0"/>
        <v>0</v>
      </c>
    </row>
    <row r="17" spans="2:25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>
        <f t="shared" si="0"/>
        <v>0</v>
      </c>
      <c r="Y17" s="15">
        <f t="shared" si="0"/>
        <v>0</v>
      </c>
    </row>
    <row r="18" spans="2:25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>
        <f t="shared" si="0"/>
        <v>0</v>
      </c>
      <c r="Y18" s="15">
        <f t="shared" si="0"/>
        <v>0</v>
      </c>
    </row>
    <row r="19" spans="2:25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>
        <f t="shared" si="0"/>
        <v>0</v>
      </c>
      <c r="Y19" s="15">
        <f t="shared" si="0"/>
        <v>0</v>
      </c>
    </row>
    <row r="20" spans="2:25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>
        <f t="shared" si="0"/>
        <v>0</v>
      </c>
      <c r="Y20" s="15">
        <f t="shared" si="0"/>
        <v>0</v>
      </c>
    </row>
    <row r="21" spans="2:25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5">
        <f t="shared" si="0"/>
        <v>0</v>
      </c>
      <c r="Y21" s="15">
        <f t="shared" si="0"/>
        <v>0</v>
      </c>
    </row>
    <row r="22" spans="2:25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>
        <f t="shared" si="0"/>
        <v>0</v>
      </c>
      <c r="Y22" s="15">
        <f t="shared" si="0"/>
        <v>0</v>
      </c>
    </row>
    <row r="23" spans="2:25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>
        <f t="shared" si="0"/>
        <v>0</v>
      </c>
      <c r="Y23" s="15">
        <f t="shared" si="0"/>
        <v>0</v>
      </c>
    </row>
    <row r="24" spans="2:25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>
        <f t="shared" si="0"/>
        <v>0</v>
      </c>
      <c r="Y24" s="15">
        <f t="shared" si="0"/>
        <v>0</v>
      </c>
    </row>
    <row r="25" spans="2:25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>
        <f t="shared" si="0"/>
        <v>0</v>
      </c>
      <c r="Y25" s="15">
        <f t="shared" si="0"/>
        <v>0</v>
      </c>
    </row>
    <row r="26" spans="2:25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f t="shared" si="0"/>
        <v>0</v>
      </c>
      <c r="Y26" s="15">
        <f t="shared" si="0"/>
        <v>0</v>
      </c>
    </row>
    <row r="27" spans="2:25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>
        <f t="shared" si="0"/>
        <v>0</v>
      </c>
      <c r="Y27" s="15">
        <f t="shared" si="0"/>
        <v>0</v>
      </c>
    </row>
    <row r="28" spans="2:25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>
        <f t="shared" si="0"/>
        <v>0</v>
      </c>
      <c r="Y28" s="15">
        <f t="shared" si="0"/>
        <v>0</v>
      </c>
    </row>
    <row r="29" spans="2:25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>
        <f t="shared" si="0"/>
        <v>0</v>
      </c>
      <c r="Y29" s="15">
        <f t="shared" si="0"/>
        <v>0</v>
      </c>
    </row>
    <row r="30" spans="2:25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>
        <f t="shared" si="0"/>
        <v>0</v>
      </c>
      <c r="Y30" s="15">
        <f t="shared" si="0"/>
        <v>0</v>
      </c>
    </row>
    <row r="31" spans="2:25" x14ac:dyDescent="0.2">
      <c r="B31" s="13">
        <v>26</v>
      </c>
      <c r="C31" s="14" t="s">
        <v>54</v>
      </c>
      <c r="D31" s="36">
        <f>2000000+880000</f>
        <v>2880000</v>
      </c>
      <c r="E31" s="14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>
        <f t="shared" si="0"/>
        <v>0</v>
      </c>
      <c r="Y31" s="15">
        <f t="shared" si="0"/>
        <v>0</v>
      </c>
    </row>
    <row r="32" spans="2:25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>
        <f t="shared" si="0"/>
        <v>0</v>
      </c>
      <c r="Y32" s="15">
        <f t="shared" si="0"/>
        <v>0</v>
      </c>
    </row>
    <row r="33" spans="2:25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>
        <f t="shared" si="0"/>
        <v>0</v>
      </c>
      <c r="Y33" s="15">
        <f t="shared" si="0"/>
        <v>0</v>
      </c>
    </row>
    <row r="34" spans="2:25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>
        <f t="shared" si="0"/>
        <v>0</v>
      </c>
      <c r="Y34" s="15">
        <f t="shared" si="0"/>
        <v>0</v>
      </c>
    </row>
    <row r="35" spans="2:25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>
        <f t="shared" si="0"/>
        <v>0</v>
      </c>
      <c r="Y35" s="15">
        <f t="shared" si="0"/>
        <v>0</v>
      </c>
    </row>
    <row r="36" spans="2:25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>
        <f t="shared" si="0"/>
        <v>0</v>
      </c>
      <c r="Y36" s="15">
        <f t="shared" si="0"/>
        <v>0</v>
      </c>
    </row>
    <row r="37" spans="2:25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>
        <f t="shared" si="0"/>
        <v>0</v>
      </c>
      <c r="Y37" s="15">
        <f t="shared" si="0"/>
        <v>0</v>
      </c>
    </row>
    <row r="38" spans="2:25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>
        <f t="shared" si="0"/>
        <v>0</v>
      </c>
      <c r="Y38" s="15">
        <f t="shared" si="0"/>
        <v>0</v>
      </c>
    </row>
    <row r="39" spans="2:25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>
        <f t="shared" si="0"/>
        <v>0</v>
      </c>
      <c r="Y39" s="15">
        <f t="shared" si="0"/>
        <v>0</v>
      </c>
    </row>
    <row r="40" spans="2:25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>
        <f t="shared" si="0"/>
        <v>0</v>
      </c>
      <c r="Y40" s="15">
        <f t="shared" si="0"/>
        <v>0</v>
      </c>
    </row>
    <row r="41" spans="2:25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>
        <f t="shared" si="0"/>
        <v>0</v>
      </c>
      <c r="Y41" s="15">
        <f t="shared" si="0"/>
        <v>0</v>
      </c>
    </row>
    <row r="42" spans="2:25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>
        <f t="shared" si="0"/>
        <v>0</v>
      </c>
      <c r="Y42" s="15">
        <f t="shared" si="0"/>
        <v>0</v>
      </c>
    </row>
    <row r="43" spans="2:25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>
        <f t="shared" si="0"/>
        <v>0</v>
      </c>
      <c r="Y43" s="15">
        <f t="shared" si="0"/>
        <v>0</v>
      </c>
    </row>
    <row r="44" spans="2:25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>
        <f t="shared" si="0"/>
        <v>0</v>
      </c>
      <c r="Y44" s="15">
        <f t="shared" si="0"/>
        <v>0</v>
      </c>
    </row>
    <row r="45" spans="2:25" x14ac:dyDescent="0.2">
      <c r="B45" s="13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5">
        <f t="shared" si="0"/>
        <v>0</v>
      </c>
      <c r="Y45" s="15">
        <f t="shared" si="0"/>
        <v>0</v>
      </c>
    </row>
    <row r="46" spans="2:25" ht="13.5" thickBot="1" x14ac:dyDescent="0.25">
      <c r="B46" s="21"/>
      <c r="C46" s="22" t="s">
        <v>14</v>
      </c>
      <c r="D46" s="23">
        <f>SUM(D6:D45)</f>
        <v>3780000</v>
      </c>
      <c r="E46" s="38">
        <f>SUM(E6:E45)</f>
        <v>0</v>
      </c>
      <c r="F46" s="23">
        <f>SUM(F6:F45)</f>
        <v>0</v>
      </c>
      <c r="G46" s="23">
        <f t="shared" ref="G46:Y46" si="1">SUM(G6:G45)</f>
        <v>0</v>
      </c>
      <c r="H46" s="23">
        <f t="shared" si="1"/>
        <v>0</v>
      </c>
      <c r="I46" s="23">
        <f t="shared" si="1"/>
        <v>0</v>
      </c>
      <c r="J46" s="23">
        <f t="shared" si="1"/>
        <v>0</v>
      </c>
      <c r="K46" s="23">
        <f t="shared" si="1"/>
        <v>0</v>
      </c>
      <c r="L46" s="23">
        <f t="shared" si="1"/>
        <v>0</v>
      </c>
      <c r="M46" s="23">
        <f t="shared" si="1"/>
        <v>0</v>
      </c>
      <c r="N46" s="23">
        <f t="shared" si="1"/>
        <v>0</v>
      </c>
      <c r="O46" s="23">
        <f t="shared" si="1"/>
        <v>0</v>
      </c>
      <c r="P46" s="23">
        <f t="shared" si="1"/>
        <v>0</v>
      </c>
      <c r="Q46" s="23">
        <f t="shared" si="1"/>
        <v>0</v>
      </c>
      <c r="R46" s="23">
        <f t="shared" si="1"/>
        <v>0</v>
      </c>
      <c r="S46" s="23">
        <f t="shared" si="1"/>
        <v>0</v>
      </c>
      <c r="T46" s="23">
        <f t="shared" si="1"/>
        <v>0</v>
      </c>
      <c r="U46" s="23">
        <f t="shared" si="1"/>
        <v>0</v>
      </c>
      <c r="V46" s="23">
        <f t="shared" si="1"/>
        <v>0</v>
      </c>
      <c r="W46" s="23">
        <f t="shared" si="1"/>
        <v>0</v>
      </c>
      <c r="X46" s="23">
        <f t="shared" si="1"/>
        <v>0</v>
      </c>
      <c r="Y46" s="23">
        <f t="shared" si="1"/>
        <v>0</v>
      </c>
    </row>
    <row r="47" spans="2:25" ht="13.5" thickTop="1" x14ac:dyDescent="0.2">
      <c r="C47" s="8" t="s">
        <v>15</v>
      </c>
      <c r="F47" s="8"/>
      <c r="G47" s="8"/>
      <c r="J47" s="8" t="s">
        <v>16</v>
      </c>
      <c r="R47" s="8" t="s">
        <v>17</v>
      </c>
    </row>
    <row r="48" spans="2:25" x14ac:dyDescent="0.2">
      <c r="F48" s="8"/>
      <c r="G48" s="8"/>
      <c r="X48" s="24"/>
    </row>
    <row r="49" spans="3:25" x14ac:dyDescent="0.2">
      <c r="F49" s="8"/>
      <c r="G49" s="8"/>
      <c r="X49" s="24"/>
    </row>
    <row r="50" spans="3:25" x14ac:dyDescent="0.2">
      <c r="F50" s="8"/>
      <c r="G50" s="8"/>
      <c r="X50" s="25"/>
    </row>
    <row r="51" spans="3:25" x14ac:dyDescent="0.2">
      <c r="C51" s="8" t="s">
        <v>58</v>
      </c>
      <c r="D51" s="213" t="s">
        <v>68</v>
      </c>
      <c r="E51" s="213"/>
      <c r="F51" s="213"/>
      <c r="R51" s="8" t="s">
        <v>23</v>
      </c>
      <c r="S51" s="8" t="s">
        <v>63</v>
      </c>
      <c r="U51" s="24"/>
      <c r="V51" s="24"/>
      <c r="W51" s="24"/>
      <c r="X51" s="24"/>
      <c r="Y51" s="24"/>
    </row>
    <row r="52" spans="3:25" x14ac:dyDescent="0.2">
      <c r="C52" s="8" t="s">
        <v>62</v>
      </c>
      <c r="D52" s="213" t="s">
        <v>60</v>
      </c>
      <c r="E52" s="213"/>
      <c r="F52" s="213"/>
      <c r="R52" s="8" t="s">
        <v>24</v>
      </c>
      <c r="S52" s="8" t="s">
        <v>64</v>
      </c>
      <c r="U52" s="24"/>
      <c r="V52" s="24"/>
      <c r="W52" s="24"/>
      <c r="X52" s="24"/>
      <c r="Y52" s="24"/>
    </row>
    <row r="53" spans="3:25" x14ac:dyDescent="0.2">
      <c r="C53" s="8" t="s">
        <v>59</v>
      </c>
      <c r="D53" s="213" t="s">
        <v>59</v>
      </c>
      <c r="E53" s="213"/>
      <c r="F53" s="213"/>
      <c r="R53" s="8" t="s">
        <v>25</v>
      </c>
      <c r="S53" s="8" t="s">
        <v>65</v>
      </c>
      <c r="U53" s="24"/>
      <c r="V53" s="24"/>
      <c r="W53" s="24"/>
      <c r="X53" s="25"/>
      <c r="Y53" s="24"/>
    </row>
    <row r="54" spans="3:25" x14ac:dyDescent="0.2">
      <c r="U54" s="24"/>
      <c r="V54" s="24"/>
      <c r="W54" s="24"/>
      <c r="X54" s="24"/>
      <c r="Y54" s="24"/>
    </row>
    <row r="55" spans="3:25" x14ac:dyDescent="0.2">
      <c r="U55" s="24"/>
      <c r="V55" s="24"/>
      <c r="W55" s="24"/>
      <c r="X55" s="24"/>
      <c r="Y55" s="24"/>
    </row>
    <row r="56" spans="3:25" x14ac:dyDescent="0.2">
      <c r="U56" s="24"/>
      <c r="V56" s="27"/>
      <c r="W56" s="27"/>
      <c r="X56" s="24"/>
      <c r="Y56" s="24"/>
    </row>
    <row r="57" spans="3:25" x14ac:dyDescent="0.2">
      <c r="U57" s="24"/>
      <c r="V57" s="24"/>
      <c r="W57" s="24"/>
      <c r="X57" s="24"/>
      <c r="Y57" s="24"/>
    </row>
    <row r="58" spans="3:25" x14ac:dyDescent="0.2">
      <c r="U58" s="24"/>
      <c r="V58" s="24"/>
      <c r="W58" s="24"/>
      <c r="X58" s="24"/>
      <c r="Y58" s="24"/>
    </row>
    <row r="59" spans="3:25" x14ac:dyDescent="0.2">
      <c r="U59" s="24"/>
      <c r="V59" s="24"/>
      <c r="W59" s="24"/>
      <c r="X59" s="24"/>
      <c r="Y59" s="24"/>
    </row>
    <row r="60" spans="3:25" x14ac:dyDescent="0.2">
      <c r="U60" s="24"/>
      <c r="V60" s="24"/>
      <c r="W60" s="24"/>
      <c r="X60" s="24"/>
      <c r="Y60" s="24"/>
    </row>
    <row r="62" spans="3:25" x14ac:dyDescent="0.2">
      <c r="F62" s="8"/>
      <c r="G62" s="8"/>
    </row>
    <row r="63" spans="3:25" x14ac:dyDescent="0.2">
      <c r="F63" s="8"/>
      <c r="G63" s="8"/>
    </row>
    <row r="64" spans="3:25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8">
    <mergeCell ref="T4:U4"/>
    <mergeCell ref="V4:W4"/>
    <mergeCell ref="X4:Y4"/>
    <mergeCell ref="D51:F51"/>
    <mergeCell ref="D52:F52"/>
    <mergeCell ref="P4:Q4"/>
    <mergeCell ref="R4:S4"/>
    <mergeCell ref="D53:F53"/>
    <mergeCell ref="H4:I4"/>
    <mergeCell ref="J4:K4"/>
    <mergeCell ref="L4:M4"/>
    <mergeCell ref="N4:O4"/>
    <mergeCell ref="F4:G4"/>
    <mergeCell ref="B1:E1"/>
    <mergeCell ref="B2:E2"/>
    <mergeCell ref="B4:B5"/>
    <mergeCell ref="C4:C5"/>
    <mergeCell ref="D4:E4"/>
  </mergeCells>
  <pageMargins left="0" right="0" top="0" bottom="0" header="0" footer="0"/>
  <pageSetup paperSize="9" scale="55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37" zoomScale="95" zoomScaleNormal="95" workbookViewId="0">
      <selection activeCell="Z58" sqref="Z56:Z58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5.28515625" style="8" customWidth="1"/>
    <col min="4" max="4" width="15.85546875" style="8" customWidth="1"/>
    <col min="5" max="5" width="12.2851562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1.85546875" style="8" customWidth="1"/>
    <col min="27" max="16384" width="9.140625" style="8"/>
  </cols>
  <sheetData>
    <row r="1" spans="2:26" s="29" customFormat="1" ht="24.75" customHeight="1" x14ac:dyDescent="0.35">
      <c r="B1" s="222" t="s">
        <v>0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74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3.5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24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2000000+28876.82+55472.57+531950+731000</f>
        <v>3347299.39</v>
      </c>
      <c r="E31" s="44">
        <v>276.48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3347299.39</v>
      </c>
      <c r="Y31" s="44">
        <f>E31</f>
        <v>276.48</v>
      </c>
      <c r="Z31" s="45" t="s">
        <v>75</v>
      </c>
    </row>
    <row r="32" spans="2:26" ht="13.5" customHeight="1" x14ac:dyDescent="0.2">
      <c r="B32" s="13">
        <v>27</v>
      </c>
      <c r="C32" s="17" t="s">
        <v>52</v>
      </c>
      <c r="D32" s="1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x14ac:dyDescent="0.2">
      <c r="B34" s="13">
        <v>29</v>
      </c>
      <c r="C34" s="14" t="s">
        <v>37</v>
      </c>
      <c r="D34" s="14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14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 t="shared" ref="D46" si="1">SUM(D6:D45)</f>
        <v>4247299.3900000006</v>
      </c>
      <c r="E46" s="50">
        <f t="shared" ref="E46:Y46" si="2">SUM(E6:E45)</f>
        <v>276.48</v>
      </c>
      <c r="F46" s="50">
        <f>SUM(F6:F45)</f>
        <v>0</v>
      </c>
      <c r="G46" s="50">
        <f t="shared" si="2"/>
        <v>0</v>
      </c>
      <c r="H46" s="50">
        <f t="shared" si="2"/>
        <v>0</v>
      </c>
      <c r="I46" s="50">
        <f t="shared" si="2"/>
        <v>0</v>
      </c>
      <c r="J46" s="50">
        <f t="shared" si="2"/>
        <v>0</v>
      </c>
      <c r="K46" s="50">
        <f t="shared" si="2"/>
        <v>0</v>
      </c>
      <c r="L46" s="50">
        <f t="shared" si="2"/>
        <v>0</v>
      </c>
      <c r="M46" s="50">
        <f t="shared" si="2"/>
        <v>0</v>
      </c>
      <c r="N46" s="50">
        <f t="shared" si="2"/>
        <v>0</v>
      </c>
      <c r="O46" s="50">
        <f t="shared" si="2"/>
        <v>0</v>
      </c>
      <c r="P46" s="50">
        <f t="shared" si="2"/>
        <v>0</v>
      </c>
      <c r="Q46" s="50">
        <f t="shared" si="2"/>
        <v>0</v>
      </c>
      <c r="R46" s="50">
        <f t="shared" si="2"/>
        <v>0</v>
      </c>
      <c r="S46" s="50">
        <f t="shared" si="2"/>
        <v>0</v>
      </c>
      <c r="T46" s="50">
        <f t="shared" si="2"/>
        <v>0</v>
      </c>
      <c r="U46" s="50">
        <f t="shared" si="2"/>
        <v>0</v>
      </c>
      <c r="V46" s="50">
        <f t="shared" si="2"/>
        <v>0</v>
      </c>
      <c r="W46" s="50">
        <f t="shared" si="2"/>
        <v>0</v>
      </c>
      <c r="X46" s="50">
        <f t="shared" si="2"/>
        <v>4247299.3900000006</v>
      </c>
      <c r="Y46" s="50">
        <f t="shared" si="2"/>
        <v>276.48</v>
      </c>
      <c r="Z46" s="50"/>
    </row>
    <row r="47" spans="2:26" ht="13.5" thickTop="1" x14ac:dyDescent="0.2">
      <c r="F47" s="8"/>
      <c r="G47" s="8"/>
    </row>
    <row r="48" spans="2:26" x14ac:dyDescent="0.2">
      <c r="C48" s="39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13" t="s">
        <v>68</v>
      </c>
      <c r="E51" s="213"/>
      <c r="F51" s="213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13" t="s">
        <v>60</v>
      </c>
      <c r="E52" s="213"/>
      <c r="F52" s="213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13" t="s">
        <v>59</v>
      </c>
      <c r="E53" s="213"/>
      <c r="F53" s="213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D51:F51"/>
    <mergeCell ref="D52:F52"/>
    <mergeCell ref="D53:F53"/>
    <mergeCell ref="H4:I4"/>
    <mergeCell ref="J4:K4"/>
    <mergeCell ref="D4:E4"/>
    <mergeCell ref="F4:G4"/>
    <mergeCell ref="Z4:Z5"/>
    <mergeCell ref="B2:Z2"/>
    <mergeCell ref="B1:Z1"/>
    <mergeCell ref="T4:U4"/>
    <mergeCell ref="V4:W4"/>
    <mergeCell ref="X4:Y4"/>
    <mergeCell ref="L4:M4"/>
    <mergeCell ref="N4:O4"/>
    <mergeCell ref="P4:Q4"/>
    <mergeCell ref="R4:S4"/>
    <mergeCell ref="B4:B5"/>
    <mergeCell ref="C4:C5"/>
  </mergeCells>
  <pageMargins left="0.7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L43" sqref="L43"/>
    </sheetView>
  </sheetViews>
  <sheetFormatPr defaultRowHeight="15" x14ac:dyDescent="0.25"/>
  <sheetData/>
  <pageMargins left="0.45" right="0.45" top="0.5" bottom="0.5" header="0.3" footer="0.3"/>
  <pageSetup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A66"/>
  <sheetViews>
    <sheetView topLeftCell="A25" zoomScale="95" zoomScaleNormal="95" workbookViewId="0">
      <selection activeCell="E31" sqref="E31"/>
    </sheetView>
  </sheetViews>
  <sheetFormatPr defaultColWidth="9.140625" defaultRowHeight="12.75" x14ac:dyDescent="0.2"/>
  <cols>
    <col min="1" max="1" width="4.85546875" style="8" customWidth="1"/>
    <col min="2" max="2" width="6.7109375" style="8" customWidth="1"/>
    <col min="3" max="3" width="67.85546875" style="8" customWidth="1"/>
    <col min="4" max="4" width="15.85546875" style="8" customWidth="1"/>
    <col min="5" max="5" width="14.85546875" style="8" customWidth="1"/>
    <col min="6" max="7" width="10.5703125" style="26" hidden="1" customWidth="1"/>
    <col min="8" max="23" width="10.5703125" style="8" hidden="1" customWidth="1"/>
    <col min="24" max="24" width="15" style="8" customWidth="1"/>
    <col min="25" max="25" width="12.7109375" style="8" customWidth="1"/>
    <col min="26" max="26" width="34.5703125" style="8" customWidth="1"/>
    <col min="27" max="16384" width="9.140625" style="8"/>
  </cols>
  <sheetData>
    <row r="1" spans="2:26" s="29" customFormat="1" ht="24.75" customHeight="1" x14ac:dyDescent="0.35">
      <c r="B1" s="222" t="s">
        <v>0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77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41" t="s">
        <v>10</v>
      </c>
      <c r="Y5" s="42" t="s">
        <v>11</v>
      </c>
      <c r="Z5" s="224"/>
    </row>
    <row r="6" spans="2:26" ht="15" x14ac:dyDescent="0.25">
      <c r="B6" s="9">
        <v>1</v>
      </c>
      <c r="C6" s="53" t="s">
        <v>31</v>
      </c>
      <c r="D6" s="10"/>
      <c r="E6" s="10"/>
      <c r="F6" s="11"/>
      <c r="G6" s="11"/>
      <c r="H6" s="12"/>
      <c r="I6" s="12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0">
        <f>F6+H6+J6+L6+N6+P6+R6+T6+V6</f>
        <v>0</v>
      </c>
      <c r="Y6" s="10">
        <f>G6+I6+K6+M6+O6+Q6+S6+U6+W6</f>
        <v>0</v>
      </c>
      <c r="Z6" s="10"/>
    </row>
    <row r="7" spans="2:26" x14ac:dyDescent="0.2">
      <c r="B7" s="13">
        <v>2</v>
      </c>
      <c r="C7" s="14" t="s">
        <v>48</v>
      </c>
      <c r="D7" s="14"/>
      <c r="E7" s="14"/>
      <c r="F7" s="15"/>
      <c r="G7" s="15"/>
      <c r="H7" s="16"/>
      <c r="I7" s="16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4">
        <f>F7+H7+J7+L7+N7+P7+R7+T7+V7</f>
        <v>0</v>
      </c>
      <c r="Y7" s="14">
        <f>G7+I7+K7+M7+O7+Q7+S7+U7+W7</f>
        <v>0</v>
      </c>
      <c r="Z7" s="14"/>
    </row>
    <row r="8" spans="2:26" x14ac:dyDescent="0.2">
      <c r="B8" s="13">
        <v>3</v>
      </c>
      <c r="C8" s="14" t="s">
        <v>40</v>
      </c>
      <c r="D8" s="14"/>
      <c r="E8" s="14"/>
      <c r="F8" s="15"/>
      <c r="G8" s="15"/>
      <c r="H8" s="16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4">
        <f t="shared" ref="X8:Y45" si="0">F8+H8+J8+L8+N8+P8+R8+T8+V8</f>
        <v>0</v>
      </c>
      <c r="Y8" s="14">
        <f t="shared" si="0"/>
        <v>0</v>
      </c>
      <c r="Z8" s="14"/>
    </row>
    <row r="9" spans="2:26" x14ac:dyDescent="0.2">
      <c r="B9" s="13">
        <v>4</v>
      </c>
      <c r="C9" s="14" t="s">
        <v>12</v>
      </c>
      <c r="D9" s="14"/>
      <c r="E9" s="14"/>
      <c r="F9" s="15"/>
      <c r="G9" s="15"/>
      <c r="H9" s="16"/>
      <c r="I9" s="16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4">
        <f t="shared" si="0"/>
        <v>0</v>
      </c>
      <c r="Y9" s="14">
        <f t="shared" si="0"/>
        <v>0</v>
      </c>
      <c r="Z9" s="14"/>
    </row>
    <row r="10" spans="2:26" x14ac:dyDescent="0.2">
      <c r="B10" s="13">
        <v>5</v>
      </c>
      <c r="C10" s="14" t="s">
        <v>45</v>
      </c>
      <c r="D10" s="14"/>
      <c r="E10" s="14"/>
      <c r="F10" s="15"/>
      <c r="G10" s="15"/>
      <c r="H10" s="16"/>
      <c r="I10" s="16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4">
        <f t="shared" si="0"/>
        <v>0</v>
      </c>
      <c r="Y10" s="14">
        <f t="shared" si="0"/>
        <v>0</v>
      </c>
      <c r="Z10" s="14"/>
    </row>
    <row r="11" spans="2:26" x14ac:dyDescent="0.2">
      <c r="B11" s="13">
        <v>6</v>
      </c>
      <c r="C11" s="14" t="s">
        <v>46</v>
      </c>
      <c r="D11" s="14"/>
      <c r="E11" s="14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4">
        <f t="shared" si="0"/>
        <v>0</v>
      </c>
      <c r="Y11" s="14">
        <f t="shared" si="0"/>
        <v>0</v>
      </c>
      <c r="Z11" s="14"/>
    </row>
    <row r="12" spans="2:26" x14ac:dyDescent="0.2">
      <c r="B12" s="13">
        <v>7</v>
      </c>
      <c r="C12" s="14" t="s">
        <v>47</v>
      </c>
      <c r="D12" s="14"/>
      <c r="E12" s="14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4">
        <f t="shared" si="0"/>
        <v>0</v>
      </c>
      <c r="Y12" s="14">
        <f t="shared" si="0"/>
        <v>0</v>
      </c>
      <c r="Z12" s="14"/>
    </row>
    <row r="13" spans="2:26" x14ac:dyDescent="0.2">
      <c r="B13" s="13">
        <v>8</v>
      </c>
      <c r="C13" s="14" t="s">
        <v>32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4">
        <f t="shared" si="0"/>
        <v>0</v>
      </c>
      <c r="Y13" s="14">
        <f t="shared" si="0"/>
        <v>0</v>
      </c>
      <c r="Z13" s="14"/>
    </row>
    <row r="14" spans="2:26" x14ac:dyDescent="0.2">
      <c r="B14" s="13">
        <v>9</v>
      </c>
      <c r="C14" s="14" t="s">
        <v>33</v>
      </c>
      <c r="D14" s="14"/>
      <c r="E14" s="14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4">
        <f t="shared" si="0"/>
        <v>0</v>
      </c>
      <c r="Y14" s="14">
        <f t="shared" si="0"/>
        <v>0</v>
      </c>
      <c r="Z14" s="14"/>
    </row>
    <row r="15" spans="2:26" x14ac:dyDescent="0.2">
      <c r="B15" s="13">
        <v>10</v>
      </c>
      <c r="C15" s="14" t="s">
        <v>34</v>
      </c>
      <c r="D15" s="14"/>
      <c r="E15" s="1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4">
        <f t="shared" si="0"/>
        <v>0</v>
      </c>
      <c r="Y15" s="14">
        <f t="shared" si="0"/>
        <v>0</v>
      </c>
      <c r="Z15" s="14"/>
    </row>
    <row r="16" spans="2:26" x14ac:dyDescent="0.2">
      <c r="B16" s="13">
        <v>11</v>
      </c>
      <c r="C16" s="14" t="s">
        <v>41</v>
      </c>
      <c r="D16" s="14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4">
        <f t="shared" si="0"/>
        <v>0</v>
      </c>
      <c r="Y16" s="14">
        <f t="shared" si="0"/>
        <v>0</v>
      </c>
      <c r="Z16" s="14"/>
    </row>
    <row r="17" spans="2:26" x14ac:dyDescent="0.2">
      <c r="B17" s="13">
        <v>12</v>
      </c>
      <c r="C17" s="17" t="s">
        <v>53</v>
      </c>
      <c r="D17" s="35">
        <f>900000</f>
        <v>900000</v>
      </c>
      <c r="E17" s="17"/>
      <c r="F17" s="16"/>
      <c r="G17" s="1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36">
        <f>D17</f>
        <v>900000</v>
      </c>
      <c r="Y17" s="14">
        <f t="shared" si="0"/>
        <v>0</v>
      </c>
      <c r="Z17" s="14" t="s">
        <v>72</v>
      </c>
    </row>
    <row r="18" spans="2:26" x14ac:dyDescent="0.2">
      <c r="B18" s="13">
        <v>13</v>
      </c>
      <c r="C18" s="14" t="s">
        <v>42</v>
      </c>
      <c r="D18" s="14"/>
      <c r="E18" s="14"/>
      <c r="F18" s="16"/>
      <c r="G18" s="1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4">
        <f t="shared" si="0"/>
        <v>0</v>
      </c>
      <c r="Y18" s="14">
        <f t="shared" si="0"/>
        <v>0</v>
      </c>
      <c r="Z18" s="14"/>
    </row>
    <row r="19" spans="2:26" x14ac:dyDescent="0.2">
      <c r="B19" s="13">
        <v>14</v>
      </c>
      <c r="C19" s="14" t="s">
        <v>35</v>
      </c>
      <c r="D19" s="14"/>
      <c r="E19" s="14"/>
      <c r="F19" s="16"/>
      <c r="G19" s="1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4">
        <f t="shared" si="0"/>
        <v>0</v>
      </c>
      <c r="Y19" s="14">
        <f t="shared" si="0"/>
        <v>0</v>
      </c>
      <c r="Z19" s="14"/>
    </row>
    <row r="20" spans="2:26" x14ac:dyDescent="0.2">
      <c r="B20" s="13">
        <v>15</v>
      </c>
      <c r="C20" s="14" t="s">
        <v>51</v>
      </c>
      <c r="D20" s="14"/>
      <c r="E20" s="14"/>
      <c r="F20" s="16"/>
      <c r="G20" s="16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4">
        <f t="shared" si="0"/>
        <v>0</v>
      </c>
      <c r="Y20" s="14">
        <f t="shared" si="0"/>
        <v>0</v>
      </c>
      <c r="Z20" s="14"/>
    </row>
    <row r="21" spans="2:26" x14ac:dyDescent="0.2">
      <c r="B21" s="13">
        <v>16</v>
      </c>
      <c r="C21" s="14" t="s">
        <v>26</v>
      </c>
      <c r="D21" s="14"/>
      <c r="E21" s="14"/>
      <c r="F21" s="16"/>
      <c r="G21" s="16"/>
      <c r="H21" s="15"/>
      <c r="I21" s="15"/>
      <c r="J21" s="15"/>
      <c r="K21" s="15"/>
      <c r="L21" s="15"/>
      <c r="M21" s="15"/>
      <c r="N21" s="15"/>
      <c r="O21" s="15"/>
      <c r="P21" s="15"/>
      <c r="Q21" s="18"/>
      <c r="R21" s="15"/>
      <c r="S21" s="15"/>
      <c r="T21" s="15"/>
      <c r="U21" s="15"/>
      <c r="V21" s="15"/>
      <c r="W21" s="15"/>
      <c r="X21" s="14">
        <f t="shared" si="0"/>
        <v>0</v>
      </c>
      <c r="Y21" s="14">
        <f t="shared" si="0"/>
        <v>0</v>
      </c>
      <c r="Z21" s="14"/>
    </row>
    <row r="22" spans="2:26" x14ac:dyDescent="0.2">
      <c r="B22" s="13">
        <v>17</v>
      </c>
      <c r="C22" s="14" t="s">
        <v>27</v>
      </c>
      <c r="D22" s="14"/>
      <c r="E22" s="1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4">
        <f t="shared" si="0"/>
        <v>0</v>
      </c>
      <c r="Y22" s="14">
        <f t="shared" si="0"/>
        <v>0</v>
      </c>
      <c r="Z22" s="14"/>
    </row>
    <row r="23" spans="2:26" x14ac:dyDescent="0.2">
      <c r="B23" s="13">
        <v>18</v>
      </c>
      <c r="C23" s="14" t="s">
        <v>43</v>
      </c>
      <c r="D23" s="14"/>
      <c r="E23" s="1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4">
        <f t="shared" si="0"/>
        <v>0</v>
      </c>
      <c r="Y23" s="14">
        <f t="shared" si="0"/>
        <v>0</v>
      </c>
      <c r="Z23" s="14"/>
    </row>
    <row r="24" spans="2:26" x14ac:dyDescent="0.2">
      <c r="B24" s="13">
        <v>19</v>
      </c>
      <c r="C24" s="14" t="s">
        <v>44</v>
      </c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4">
        <f t="shared" si="0"/>
        <v>0</v>
      </c>
      <c r="Y24" s="14">
        <f t="shared" si="0"/>
        <v>0</v>
      </c>
      <c r="Z24" s="14"/>
    </row>
    <row r="25" spans="2:26" x14ac:dyDescent="0.2">
      <c r="B25" s="13">
        <v>20</v>
      </c>
      <c r="C25" s="14" t="s">
        <v>28</v>
      </c>
      <c r="D25" s="14"/>
      <c r="E25" s="14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4">
        <f t="shared" si="0"/>
        <v>0</v>
      </c>
      <c r="Y25" s="14">
        <f t="shared" si="0"/>
        <v>0</v>
      </c>
      <c r="Z25" s="14"/>
    </row>
    <row r="26" spans="2:26" x14ac:dyDescent="0.2">
      <c r="B26" s="13">
        <v>21</v>
      </c>
      <c r="C26" s="14" t="s">
        <v>29</v>
      </c>
      <c r="D26" s="14"/>
      <c r="E26" s="14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4">
        <f t="shared" si="0"/>
        <v>0</v>
      </c>
      <c r="Y26" s="14">
        <f t="shared" si="0"/>
        <v>0</v>
      </c>
      <c r="Z26" s="14"/>
    </row>
    <row r="27" spans="2:26" x14ac:dyDescent="0.2">
      <c r="B27" s="13">
        <v>22</v>
      </c>
      <c r="C27" s="14" t="s">
        <v>49</v>
      </c>
      <c r="D27" s="14"/>
      <c r="E27" s="14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4">
        <f t="shared" si="0"/>
        <v>0</v>
      </c>
      <c r="Y27" s="14">
        <f t="shared" si="0"/>
        <v>0</v>
      </c>
      <c r="Z27" s="14"/>
    </row>
    <row r="28" spans="2:26" x14ac:dyDescent="0.2">
      <c r="B28" s="13">
        <v>23</v>
      </c>
      <c r="C28" s="14" t="s">
        <v>50</v>
      </c>
      <c r="D28" s="14"/>
      <c r="E28" s="14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4">
        <f t="shared" si="0"/>
        <v>0</v>
      </c>
      <c r="Y28" s="14">
        <f t="shared" si="0"/>
        <v>0</v>
      </c>
      <c r="Z28" s="14"/>
    </row>
    <row r="29" spans="2:26" x14ac:dyDescent="0.2">
      <c r="B29" s="13">
        <v>24</v>
      </c>
      <c r="C29" s="14" t="s">
        <v>13</v>
      </c>
      <c r="D29" s="14"/>
      <c r="E29" s="14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4">
        <f t="shared" si="0"/>
        <v>0</v>
      </c>
      <c r="Y29" s="14">
        <f t="shared" si="0"/>
        <v>0</v>
      </c>
      <c r="Z29" s="14"/>
    </row>
    <row r="30" spans="2:26" x14ac:dyDescent="0.2">
      <c r="B30" s="13">
        <v>25</v>
      </c>
      <c r="C30" s="14" t="s">
        <v>30</v>
      </c>
      <c r="D30" s="14"/>
      <c r="E30" s="14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4">
        <f t="shared" si="0"/>
        <v>0</v>
      </c>
      <c r="Y30" s="14">
        <f t="shared" si="0"/>
        <v>0</v>
      </c>
      <c r="Z30" s="14"/>
    </row>
    <row r="31" spans="2:26" s="47" customFormat="1" ht="57" customHeight="1" x14ac:dyDescent="0.25">
      <c r="B31" s="46">
        <v>26</v>
      </c>
      <c r="C31" s="44" t="s">
        <v>54</v>
      </c>
      <c r="D31" s="43">
        <f>500000+1500000+531950+731000</f>
        <v>3262950</v>
      </c>
      <c r="E31" s="57">
        <f>497.01+347.66</f>
        <v>844.67000000000007</v>
      </c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4">
        <f>D31</f>
        <v>3262950</v>
      </c>
      <c r="Y31" s="57">
        <f>E31</f>
        <v>844.67000000000007</v>
      </c>
      <c r="Z31" s="45" t="s">
        <v>78</v>
      </c>
    </row>
    <row r="32" spans="2:26" ht="13.5" customHeight="1" x14ac:dyDescent="0.2">
      <c r="B32" s="13">
        <v>27</v>
      </c>
      <c r="C32" s="17" t="s">
        <v>52</v>
      </c>
      <c r="D32" s="54"/>
      <c r="E32" s="14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4">
        <f t="shared" si="0"/>
        <v>0</v>
      </c>
      <c r="Y32" s="14">
        <f t="shared" si="0"/>
        <v>0</v>
      </c>
      <c r="Z32" s="14"/>
    </row>
    <row r="33" spans="2:26" x14ac:dyDescent="0.2">
      <c r="B33" s="13">
        <v>28</v>
      </c>
      <c r="C33" s="14" t="s">
        <v>36</v>
      </c>
      <c r="D33" s="14"/>
      <c r="E33" s="14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4">
        <f t="shared" si="0"/>
        <v>0</v>
      </c>
      <c r="Y33" s="14">
        <f t="shared" si="0"/>
        <v>0</v>
      </c>
      <c r="Z33" s="14"/>
    </row>
    <row r="34" spans="2:26" ht="14.25" x14ac:dyDescent="0.2">
      <c r="B34" s="13">
        <v>29</v>
      </c>
      <c r="C34" s="14" t="s">
        <v>37</v>
      </c>
      <c r="D34" s="55"/>
      <c r="E34" s="14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4">
        <f t="shared" si="0"/>
        <v>0</v>
      </c>
      <c r="Y34" s="14">
        <f t="shared" si="0"/>
        <v>0</v>
      </c>
      <c r="Z34" s="14"/>
    </row>
    <row r="35" spans="2:26" x14ac:dyDescent="0.2">
      <c r="B35" s="13">
        <v>30</v>
      </c>
      <c r="C35" s="14" t="s">
        <v>38</v>
      </c>
      <c r="D35" s="56"/>
      <c r="E35" s="14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4">
        <f t="shared" si="0"/>
        <v>0</v>
      </c>
      <c r="Y35" s="14">
        <f t="shared" si="0"/>
        <v>0</v>
      </c>
      <c r="Z35" s="14"/>
    </row>
    <row r="36" spans="2:26" x14ac:dyDescent="0.2">
      <c r="B36" s="13">
        <v>31</v>
      </c>
      <c r="C36" s="14" t="s">
        <v>39</v>
      </c>
      <c r="D36" s="14"/>
      <c r="E36" s="14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4">
        <f t="shared" si="0"/>
        <v>0</v>
      </c>
      <c r="Y36" s="14">
        <f t="shared" si="0"/>
        <v>0</v>
      </c>
      <c r="Z36" s="14"/>
    </row>
    <row r="37" spans="2:26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6" hidden="1" x14ac:dyDescent="0.2">
      <c r="B38" s="13"/>
      <c r="C38" s="14"/>
      <c r="D38" s="14"/>
      <c r="E38" s="14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4">
        <f t="shared" si="0"/>
        <v>0</v>
      </c>
      <c r="Y38" s="14">
        <f t="shared" si="0"/>
        <v>0</v>
      </c>
      <c r="Z38" s="14"/>
    </row>
    <row r="39" spans="2:26" hidden="1" x14ac:dyDescent="0.2">
      <c r="B39" s="13"/>
      <c r="C39" s="14"/>
      <c r="D39" s="14"/>
      <c r="E39" s="14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4">
        <f t="shared" si="0"/>
        <v>0</v>
      </c>
      <c r="Y39" s="14">
        <f t="shared" si="0"/>
        <v>0</v>
      </c>
      <c r="Z39" s="14"/>
    </row>
    <row r="40" spans="2:26" hidden="1" x14ac:dyDescent="0.2">
      <c r="B40" s="13"/>
      <c r="C40" s="14"/>
      <c r="D40" s="14"/>
      <c r="E40" s="14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4">
        <f t="shared" si="0"/>
        <v>0</v>
      </c>
      <c r="Y40" s="14">
        <f t="shared" si="0"/>
        <v>0</v>
      </c>
      <c r="Z40" s="14"/>
    </row>
    <row r="41" spans="2:26" hidden="1" x14ac:dyDescent="0.2">
      <c r="B41" s="13"/>
      <c r="C41" s="14"/>
      <c r="D41" s="14"/>
      <c r="E41" s="14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4">
        <f t="shared" si="0"/>
        <v>0</v>
      </c>
      <c r="Y41" s="14">
        <f t="shared" si="0"/>
        <v>0</v>
      </c>
      <c r="Z41" s="14"/>
    </row>
    <row r="42" spans="2:26" hidden="1" x14ac:dyDescent="0.2">
      <c r="B42" s="13"/>
      <c r="C42" s="14"/>
      <c r="D42" s="14"/>
      <c r="E42" s="14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4">
        <f t="shared" si="0"/>
        <v>0</v>
      </c>
      <c r="Y42" s="14">
        <f t="shared" si="0"/>
        <v>0</v>
      </c>
      <c r="Z42" s="14"/>
    </row>
    <row r="43" spans="2:26" x14ac:dyDescent="0.2">
      <c r="B43" s="13"/>
      <c r="C43" s="14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>
        <f t="shared" si="0"/>
        <v>0</v>
      </c>
      <c r="Y43" s="14">
        <f t="shared" si="0"/>
        <v>0</v>
      </c>
      <c r="Z43" s="14"/>
    </row>
    <row r="44" spans="2:26" x14ac:dyDescent="0.2">
      <c r="B44" s="13"/>
      <c r="C44" s="14"/>
      <c r="D44" s="14"/>
      <c r="E44" s="14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4">
        <f t="shared" si="0"/>
        <v>0</v>
      </c>
      <c r="Y44" s="14">
        <f t="shared" si="0"/>
        <v>0</v>
      </c>
      <c r="Z44" s="14"/>
    </row>
    <row r="45" spans="2:26" x14ac:dyDescent="0.2">
      <c r="B45" s="51"/>
      <c r="C45" s="19"/>
      <c r="D45" s="19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14">
        <f t="shared" si="0"/>
        <v>0</v>
      </c>
      <c r="Y45" s="14">
        <f t="shared" si="0"/>
        <v>0</v>
      </c>
      <c r="Z45" s="14"/>
    </row>
    <row r="46" spans="2:26" s="47" customFormat="1" ht="18.75" customHeight="1" thickBot="1" x14ac:dyDescent="0.3">
      <c r="B46" s="52"/>
      <c r="C46" s="49" t="s">
        <v>14</v>
      </c>
      <c r="D46" s="50">
        <f>SUM(D6:D45)</f>
        <v>4162950</v>
      </c>
      <c r="E46" s="50">
        <f t="shared" ref="E46:Y46" si="1">SUM(E6:E45)</f>
        <v>844.67000000000007</v>
      </c>
      <c r="F46" s="50">
        <f>SUM(F6:F45)</f>
        <v>0</v>
      </c>
      <c r="G46" s="50">
        <f t="shared" si="1"/>
        <v>0</v>
      </c>
      <c r="H46" s="50">
        <f t="shared" si="1"/>
        <v>0</v>
      </c>
      <c r="I46" s="50">
        <f t="shared" si="1"/>
        <v>0</v>
      </c>
      <c r="J46" s="50">
        <f t="shared" si="1"/>
        <v>0</v>
      </c>
      <c r="K46" s="50">
        <f t="shared" si="1"/>
        <v>0</v>
      </c>
      <c r="L46" s="50">
        <f t="shared" si="1"/>
        <v>0</v>
      </c>
      <c r="M46" s="50">
        <f t="shared" si="1"/>
        <v>0</v>
      </c>
      <c r="N46" s="50">
        <f t="shared" si="1"/>
        <v>0</v>
      </c>
      <c r="O46" s="50">
        <f t="shared" si="1"/>
        <v>0</v>
      </c>
      <c r="P46" s="50">
        <f t="shared" si="1"/>
        <v>0</v>
      </c>
      <c r="Q46" s="50">
        <f t="shared" si="1"/>
        <v>0</v>
      </c>
      <c r="R46" s="50">
        <f t="shared" si="1"/>
        <v>0</v>
      </c>
      <c r="S46" s="50">
        <f t="shared" si="1"/>
        <v>0</v>
      </c>
      <c r="T46" s="50">
        <f t="shared" si="1"/>
        <v>0</v>
      </c>
      <c r="U46" s="50">
        <f t="shared" si="1"/>
        <v>0</v>
      </c>
      <c r="V46" s="50">
        <f t="shared" si="1"/>
        <v>0</v>
      </c>
      <c r="W46" s="50">
        <f t="shared" si="1"/>
        <v>0</v>
      </c>
      <c r="X46" s="50">
        <f t="shared" si="1"/>
        <v>4162950</v>
      </c>
      <c r="Y46" s="50">
        <f t="shared" si="1"/>
        <v>844.67000000000007</v>
      </c>
      <c r="Z46" s="50"/>
    </row>
    <row r="47" spans="2:26" ht="13.5" thickTop="1" x14ac:dyDescent="0.2">
      <c r="F47" s="8"/>
      <c r="G47" s="8"/>
    </row>
    <row r="48" spans="2:26" x14ac:dyDescent="0.2">
      <c r="C48" s="40" t="s">
        <v>76</v>
      </c>
      <c r="D48" s="8" t="s">
        <v>16</v>
      </c>
      <c r="F48" s="8"/>
      <c r="G48" s="8"/>
      <c r="J48" s="8" t="s">
        <v>16</v>
      </c>
      <c r="R48" s="8" t="s">
        <v>17</v>
      </c>
      <c r="Y48" s="8" t="s">
        <v>17</v>
      </c>
    </row>
    <row r="49" spans="3:27" x14ac:dyDescent="0.2">
      <c r="F49" s="8"/>
      <c r="G49" s="8"/>
      <c r="X49" s="24"/>
    </row>
    <row r="50" spans="3:27" x14ac:dyDescent="0.2">
      <c r="F50" s="8"/>
      <c r="G50" s="8"/>
      <c r="X50" s="25"/>
    </row>
    <row r="51" spans="3:27" x14ac:dyDescent="0.2">
      <c r="C51" s="8" t="s">
        <v>58</v>
      </c>
      <c r="D51" s="213" t="s">
        <v>68</v>
      </c>
      <c r="E51" s="213"/>
      <c r="F51" s="213"/>
      <c r="R51" s="8" t="s">
        <v>23</v>
      </c>
      <c r="S51" s="8" t="s">
        <v>63</v>
      </c>
      <c r="U51" s="24"/>
      <c r="V51" s="24"/>
      <c r="W51" s="24"/>
      <c r="X51" s="24"/>
      <c r="Y51" s="48" t="s">
        <v>68</v>
      </c>
      <c r="Z51" s="48"/>
      <c r="AA51" s="48"/>
    </row>
    <row r="52" spans="3:27" x14ac:dyDescent="0.2">
      <c r="C52" s="8" t="s">
        <v>62</v>
      </c>
      <c r="D52" s="213" t="s">
        <v>60</v>
      </c>
      <c r="E52" s="213"/>
      <c r="F52" s="213"/>
      <c r="R52" s="8" t="s">
        <v>24</v>
      </c>
      <c r="S52" s="8" t="s">
        <v>64</v>
      </c>
      <c r="U52" s="24"/>
      <c r="V52" s="24"/>
      <c r="W52" s="24"/>
      <c r="X52" s="24"/>
      <c r="Y52" s="48" t="s">
        <v>73</v>
      </c>
      <c r="Z52" s="48"/>
      <c r="AA52" s="48"/>
    </row>
    <row r="53" spans="3:27" x14ac:dyDescent="0.2">
      <c r="C53" s="8" t="s">
        <v>59</v>
      </c>
      <c r="D53" s="213" t="s">
        <v>59</v>
      </c>
      <c r="E53" s="213"/>
      <c r="F53" s="213"/>
      <c r="R53" s="8" t="s">
        <v>25</v>
      </c>
      <c r="S53" s="8" t="s">
        <v>65</v>
      </c>
      <c r="U53" s="24"/>
      <c r="V53" s="24"/>
      <c r="W53" s="24"/>
      <c r="X53" s="25"/>
      <c r="Y53" s="48"/>
      <c r="Z53" s="48"/>
      <c r="AA53" s="48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4"/>
      <c r="W55" s="24"/>
      <c r="X55" s="24"/>
      <c r="Y55" s="24"/>
    </row>
    <row r="56" spans="3:27" x14ac:dyDescent="0.2">
      <c r="U56" s="24"/>
      <c r="V56" s="27"/>
      <c r="W56" s="27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0" spans="3:27" x14ac:dyDescent="0.2">
      <c r="U60" s="24"/>
      <c r="V60" s="24"/>
      <c r="W60" s="24"/>
      <c r="X60" s="24"/>
      <c r="Y60" s="24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  <row r="66" spans="6:7" x14ac:dyDescent="0.2">
      <c r="F66" s="8"/>
      <c r="G66" s="8"/>
    </row>
  </sheetData>
  <mergeCells count="19">
    <mergeCell ref="D51:F51"/>
    <mergeCell ref="D52:F52"/>
    <mergeCell ref="D53:F53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landscape" horizontalDpi="300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59"/>
  <sheetViews>
    <sheetView topLeftCell="A36" zoomScaleNormal="100" workbookViewId="0">
      <selection activeCell="Z50" sqref="Z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2.8554687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4.42578125" style="8" customWidth="1"/>
    <col min="25" max="25" width="14.5703125" style="8" customWidth="1"/>
    <col min="26" max="26" width="26.85546875" style="8" customWidth="1"/>
    <col min="27" max="16384" width="9.140625" style="8"/>
  </cols>
  <sheetData>
    <row r="1" spans="2:26" s="29" customFormat="1" ht="24.75" customHeight="1" x14ac:dyDescent="0.35">
      <c r="B1" s="222" t="s">
        <v>0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80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59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72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9.25" customHeight="1" x14ac:dyDescent="0.25">
      <c r="B31" s="66">
        <v>26</v>
      </c>
      <c r="C31" s="67" t="s">
        <v>54</v>
      </c>
      <c r="D31" s="78">
        <f>200000+282000</f>
        <v>482000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482000</v>
      </c>
      <c r="Y31" s="80">
        <f>E31</f>
        <v>0</v>
      </c>
      <c r="Z31" s="76" t="s">
        <v>84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1082000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1082000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>
        <v>1082000</v>
      </c>
    </row>
    <row r="41" spans="2:28" x14ac:dyDescent="0.2">
      <c r="C41" s="58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F42" s="8"/>
      <c r="G42" s="8"/>
      <c r="X42" s="24"/>
    </row>
    <row r="43" spans="2:28" x14ac:dyDescent="0.2">
      <c r="F43" s="8"/>
      <c r="G43" s="8"/>
      <c r="X43" s="25"/>
    </row>
    <row r="44" spans="2:28" x14ac:dyDescent="0.2">
      <c r="C44" s="8" t="s">
        <v>81</v>
      </c>
      <c r="D44" s="213" t="s">
        <v>68</v>
      </c>
      <c r="E44" s="213"/>
      <c r="F44" s="213"/>
      <c r="R44" s="8" t="s">
        <v>23</v>
      </c>
      <c r="S44" s="8" t="s">
        <v>63</v>
      </c>
      <c r="U44" s="24"/>
      <c r="V44" s="24"/>
      <c r="W44" s="24"/>
      <c r="X44" s="24"/>
      <c r="Y44" s="48" t="s">
        <v>68</v>
      </c>
      <c r="Z44" s="48"/>
      <c r="AA44" s="48"/>
    </row>
    <row r="45" spans="2:28" x14ac:dyDescent="0.2">
      <c r="C45" s="8" t="s">
        <v>82</v>
      </c>
      <c r="D45" s="213" t="s">
        <v>83</v>
      </c>
      <c r="E45" s="213"/>
      <c r="F45" s="213"/>
      <c r="R45" s="8" t="s">
        <v>24</v>
      </c>
      <c r="S45" s="8" t="s">
        <v>64</v>
      </c>
      <c r="U45" s="24"/>
      <c r="V45" s="24"/>
      <c r="W45" s="24"/>
      <c r="X45" s="24"/>
      <c r="Y45" s="48" t="s">
        <v>73</v>
      </c>
      <c r="Z45" s="48"/>
      <c r="AA45" s="48"/>
    </row>
    <row r="46" spans="2:28" x14ac:dyDescent="0.2">
      <c r="C46" s="8" t="s">
        <v>59</v>
      </c>
      <c r="D46" s="213" t="s">
        <v>59</v>
      </c>
      <c r="E46" s="213"/>
      <c r="F46" s="213"/>
      <c r="R46" s="8" t="s">
        <v>25</v>
      </c>
      <c r="S46" s="8" t="s">
        <v>65</v>
      </c>
      <c r="U46" s="24"/>
      <c r="V46" s="24"/>
      <c r="W46" s="24"/>
      <c r="X46" s="25"/>
      <c r="Y46" s="48" t="s">
        <v>79</v>
      </c>
      <c r="Z46" s="48"/>
      <c r="AA46" s="48"/>
    </row>
    <row r="47" spans="2:28" x14ac:dyDescent="0.2">
      <c r="U47" s="24"/>
      <c r="V47" s="24"/>
      <c r="W47" s="24"/>
      <c r="X47" s="24"/>
      <c r="Y47" s="24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7"/>
      <c r="W49" s="27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5" spans="6:25" x14ac:dyDescent="0.2">
      <c r="F55" s="8"/>
      <c r="G55" s="8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</sheetData>
  <mergeCells count="19">
    <mergeCell ref="D44:F44"/>
    <mergeCell ref="D45:F45"/>
    <mergeCell ref="D46:F46"/>
    <mergeCell ref="P4:Q4"/>
    <mergeCell ref="R4:S4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T4:U4"/>
    <mergeCell ref="V4:W4"/>
    <mergeCell ref="X4:Y4"/>
    <mergeCell ref="Z4:Z5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zoomScaleNormal="100" workbookViewId="0">
      <selection activeCell="C46" sqref="C4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3.140625" style="8" customWidth="1"/>
    <col min="5" max="5" width="10.140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9.140625" style="8" customWidth="1"/>
    <col min="26" max="26" width="28.85546875" style="8" customWidth="1"/>
    <col min="27" max="16384" width="9.140625" style="8"/>
  </cols>
  <sheetData>
    <row r="1" spans="2:26" s="29" customFormat="1" ht="24.75" customHeight="1" x14ac:dyDescent="0.35">
      <c r="B1" s="222" t="s">
        <v>0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85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61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550000</f>
        <v>550000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550000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39" customHeight="1" x14ac:dyDescent="0.25">
      <c r="B31" s="66">
        <v>26</v>
      </c>
      <c r="C31" s="67" t="s">
        <v>54</v>
      </c>
      <c r="D31" s="78">
        <f>400000+580000</f>
        <v>980000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980000</v>
      </c>
      <c r="Y31" s="80">
        <f>E31</f>
        <v>0</v>
      </c>
      <c r="Z31" s="76" t="s">
        <v>86</v>
      </c>
    </row>
    <row r="32" spans="2:26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71">
        <f>SUM(D6:D38)</f>
        <v>1530000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71">
        <f t="shared" si="1"/>
        <v>1530000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60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4"/>
      <c r="F42" s="8"/>
      <c r="G42" s="8"/>
    </row>
    <row r="43" spans="2:28" x14ac:dyDescent="0.2">
      <c r="C43" s="84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13" t="s">
        <v>68</v>
      </c>
      <c r="E46" s="213"/>
      <c r="F46" s="213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13" t="s">
        <v>83</v>
      </c>
      <c r="E47" s="213"/>
      <c r="F47" s="213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13" t="s">
        <v>59</v>
      </c>
      <c r="E48" s="213"/>
      <c r="F48" s="213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D46:F46"/>
    <mergeCell ref="D47:F47"/>
    <mergeCell ref="D48:F48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1"/>
  <sheetViews>
    <sheetView topLeftCell="A34" zoomScaleNormal="100" workbookViewId="0">
      <selection activeCell="X53" sqref="X5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2" t="s">
        <v>0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87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6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8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500000</f>
        <v>500000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500000</v>
      </c>
      <c r="Y17" s="79">
        <f t="shared" si="0"/>
        <v>0</v>
      </c>
      <c r="Z17" s="67"/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9" customHeight="1" x14ac:dyDescent="0.25">
      <c r="B31" s="66">
        <v>26</v>
      </c>
      <c r="C31" s="67" t="s">
        <v>54</v>
      </c>
      <c r="D31" s="78">
        <f>500000+29309351.51</f>
        <v>29809351.510000002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81">
        <f>D31</f>
        <v>29809351.510000002</v>
      </c>
      <c r="Y31" s="80">
        <f>E31</f>
        <v>0</v>
      </c>
      <c r="Z31" s="76" t="s">
        <v>88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13"/>
      <c r="C37" s="14"/>
      <c r="D37" s="14"/>
      <c r="E37" s="14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4">
        <f t="shared" si="0"/>
        <v>0</v>
      </c>
      <c r="Y37" s="14">
        <f t="shared" si="0"/>
        <v>0</v>
      </c>
      <c r="Z37" s="14"/>
    </row>
    <row r="38" spans="2:28" ht="13.5" customHeight="1" x14ac:dyDescent="0.2">
      <c r="B38" s="51"/>
      <c r="C38" s="19"/>
      <c r="D38" s="19"/>
      <c r="E38" s="19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14">
        <f t="shared" si="0"/>
        <v>0</v>
      </c>
      <c r="Y38" s="14">
        <f t="shared" si="0"/>
        <v>0</v>
      </c>
      <c r="Z38" s="14"/>
    </row>
    <row r="39" spans="2:28" s="65" customFormat="1" ht="24.75" customHeight="1" thickBot="1" x14ac:dyDescent="0.3">
      <c r="B39" s="70"/>
      <c r="C39" s="82" t="s">
        <v>14</v>
      </c>
      <c r="D39" s="90">
        <f>SUM(D6:D38)</f>
        <v>30309351.510000002</v>
      </c>
      <c r="E39" s="71">
        <f t="shared" ref="E39:Y39" si="1">SUM(E6:E38)</f>
        <v>0</v>
      </c>
      <c r="F39" s="71">
        <f>SUM(F6:F38)</f>
        <v>0</v>
      </c>
      <c r="G39" s="71">
        <f t="shared" si="1"/>
        <v>0</v>
      </c>
      <c r="H39" s="71">
        <f t="shared" si="1"/>
        <v>0</v>
      </c>
      <c r="I39" s="71">
        <f t="shared" si="1"/>
        <v>0</v>
      </c>
      <c r="J39" s="71">
        <f t="shared" si="1"/>
        <v>0</v>
      </c>
      <c r="K39" s="71">
        <f t="shared" si="1"/>
        <v>0</v>
      </c>
      <c r="L39" s="71">
        <f t="shared" si="1"/>
        <v>0</v>
      </c>
      <c r="M39" s="71">
        <f t="shared" si="1"/>
        <v>0</v>
      </c>
      <c r="N39" s="71">
        <f t="shared" si="1"/>
        <v>0</v>
      </c>
      <c r="O39" s="71">
        <f t="shared" si="1"/>
        <v>0</v>
      </c>
      <c r="P39" s="71">
        <f t="shared" si="1"/>
        <v>0</v>
      </c>
      <c r="Q39" s="71">
        <f t="shared" si="1"/>
        <v>0</v>
      </c>
      <c r="R39" s="71">
        <f t="shared" si="1"/>
        <v>0</v>
      </c>
      <c r="S39" s="71">
        <f t="shared" si="1"/>
        <v>0</v>
      </c>
      <c r="T39" s="71">
        <f t="shared" si="1"/>
        <v>0</v>
      </c>
      <c r="U39" s="71">
        <f t="shared" si="1"/>
        <v>0</v>
      </c>
      <c r="V39" s="71">
        <f t="shared" si="1"/>
        <v>0</v>
      </c>
      <c r="W39" s="71">
        <f t="shared" si="1"/>
        <v>0</v>
      </c>
      <c r="X39" s="90">
        <f t="shared" si="1"/>
        <v>30309351.510000002</v>
      </c>
      <c r="Y39" s="71">
        <f t="shared" si="1"/>
        <v>0</v>
      </c>
      <c r="Z39" s="71"/>
    </row>
    <row r="40" spans="2:28" ht="13.5" thickTop="1" x14ac:dyDescent="0.2">
      <c r="F40" s="8"/>
      <c r="G40" s="8"/>
      <c r="AB40" s="83"/>
    </row>
    <row r="41" spans="2:28" x14ac:dyDescent="0.2">
      <c r="C41" s="85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85"/>
      <c r="F42" s="8"/>
      <c r="G42" s="8"/>
    </row>
    <row r="43" spans="2:28" x14ac:dyDescent="0.2">
      <c r="C43" s="85"/>
      <c r="F43" s="8"/>
      <c r="G43" s="8"/>
    </row>
    <row r="44" spans="2:28" x14ac:dyDescent="0.2">
      <c r="F44" s="8"/>
      <c r="G44" s="8"/>
      <c r="X44" s="24"/>
    </row>
    <row r="45" spans="2:28" x14ac:dyDescent="0.2">
      <c r="F45" s="8"/>
      <c r="G45" s="8"/>
      <c r="X45" s="25"/>
    </row>
    <row r="46" spans="2:28" x14ac:dyDescent="0.2">
      <c r="C46" s="8" t="s">
        <v>81</v>
      </c>
      <c r="D46" s="213" t="s">
        <v>68</v>
      </c>
      <c r="E46" s="213"/>
      <c r="F46" s="213"/>
      <c r="R46" s="8" t="s">
        <v>23</v>
      </c>
      <c r="S46" s="8" t="s">
        <v>63</v>
      </c>
      <c r="U46" s="24"/>
      <c r="V46" s="24"/>
      <c r="W46" s="24"/>
      <c r="X46" s="24"/>
      <c r="Y46" s="48" t="s">
        <v>68</v>
      </c>
      <c r="Z46" s="48"/>
      <c r="AA46" s="48"/>
    </row>
    <row r="47" spans="2:28" x14ac:dyDescent="0.2">
      <c r="C47" s="8" t="s">
        <v>82</v>
      </c>
      <c r="D47" s="213" t="s">
        <v>83</v>
      </c>
      <c r="E47" s="213"/>
      <c r="F47" s="213"/>
      <c r="R47" s="8" t="s">
        <v>24</v>
      </c>
      <c r="S47" s="8" t="s">
        <v>64</v>
      </c>
      <c r="U47" s="24"/>
      <c r="V47" s="24"/>
      <c r="W47" s="24"/>
      <c r="X47" s="24"/>
      <c r="Y47" s="48" t="s">
        <v>73</v>
      </c>
      <c r="Z47" s="48"/>
      <c r="AA47" s="48"/>
    </row>
    <row r="48" spans="2:28" x14ac:dyDescent="0.2">
      <c r="C48" s="8" t="s">
        <v>59</v>
      </c>
      <c r="D48" s="213" t="s">
        <v>59</v>
      </c>
      <c r="E48" s="213"/>
      <c r="F48" s="213"/>
      <c r="R48" s="8" t="s">
        <v>25</v>
      </c>
      <c r="S48" s="8" t="s">
        <v>65</v>
      </c>
      <c r="U48" s="24"/>
      <c r="V48" s="24"/>
      <c r="W48" s="24"/>
      <c r="X48" s="25"/>
      <c r="Y48" s="48" t="s">
        <v>79</v>
      </c>
      <c r="Z48" s="48"/>
      <c r="AA48" s="48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4"/>
      <c r="W50" s="24"/>
      <c r="X50" s="24"/>
      <c r="Y50" s="24"/>
    </row>
    <row r="51" spans="6:25" x14ac:dyDescent="0.2">
      <c r="U51" s="24"/>
      <c r="V51" s="27"/>
      <c r="W51" s="27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5" spans="6:25" x14ac:dyDescent="0.2">
      <c r="U55" s="24"/>
      <c r="V55" s="24"/>
      <c r="W55" s="24"/>
      <c r="X55" s="24"/>
      <c r="Y55" s="24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  <row r="61" spans="6:25" x14ac:dyDescent="0.2">
      <c r="F61" s="8"/>
      <c r="G61" s="8"/>
    </row>
  </sheetData>
  <mergeCells count="19">
    <mergeCell ref="D46:F46"/>
    <mergeCell ref="D47:F47"/>
    <mergeCell ref="D48:F48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topLeftCell="A16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2" t="s">
        <v>0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90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88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67" t="s">
        <v>89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60.75" customHeight="1" x14ac:dyDescent="0.25">
      <c r="B31" s="66">
        <v>26</v>
      </c>
      <c r="C31" s="67" t="s">
        <v>54</v>
      </c>
      <c r="D31" s="78">
        <f>500000+29309351.51+240000</f>
        <v>30049351.510000002</v>
      </c>
      <c r="E31" s="80">
        <v>109.25</v>
      </c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30049351.510000002</v>
      </c>
      <c r="Y31" s="80">
        <f>E31</f>
        <v>109.25</v>
      </c>
      <c r="Z31" s="93" t="s">
        <v>91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30649351.510000002</v>
      </c>
      <c r="E38" s="71">
        <f t="shared" si="1"/>
        <v>109.25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30649351.510000002</v>
      </c>
      <c r="Y38" s="71">
        <f t="shared" si="1"/>
        <v>109.25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8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87"/>
      <c r="F41" s="8"/>
      <c r="G41" s="8"/>
    </row>
    <row r="42" spans="2:28" x14ac:dyDescent="0.2">
      <c r="C42" s="8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13" t="s">
        <v>68</v>
      </c>
      <c r="E45" s="213"/>
      <c r="F45" s="213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13" t="s">
        <v>83</v>
      </c>
      <c r="E46" s="213"/>
      <c r="F46" s="21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13" t="s">
        <v>59</v>
      </c>
      <c r="E47" s="213"/>
      <c r="F47" s="21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ignoredErrors>
    <ignoredError sqref="X31:Y31" formula="1"/>
  </ignoredError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2" t="s">
        <v>0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94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2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35.25" customHeight="1" x14ac:dyDescent="0.25">
      <c r="B31" s="66">
        <v>26</v>
      </c>
      <c r="C31" s="67" t="s">
        <v>54</v>
      </c>
      <c r="D31" s="78">
        <f>500000+49193220</f>
        <v>49693220</v>
      </c>
      <c r="E31" s="80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94">
        <f>D31</f>
        <v>49693220</v>
      </c>
      <c r="Y31" s="80"/>
      <c r="Z31" s="93" t="s">
        <v>92</v>
      </c>
      <c r="AA31" s="89">
        <v>29309351.504999999</v>
      </c>
    </row>
    <row r="32" spans="2:27" s="65" customFormat="1" ht="21.75" customHeight="1" x14ac:dyDescent="0.25">
      <c r="B32" s="66">
        <v>27</v>
      </c>
      <c r="C32" s="67" t="s">
        <v>52</v>
      </c>
      <c r="D32" s="72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.7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.75" customHeight="1" x14ac:dyDescent="0.25">
      <c r="B34" s="66">
        <v>29</v>
      </c>
      <c r="C34" s="67" t="s">
        <v>37</v>
      </c>
      <c r="D34" s="73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.75" customHeight="1" x14ac:dyDescent="0.25">
      <c r="B35" s="66">
        <v>30</v>
      </c>
      <c r="C35" s="67" t="s">
        <v>38</v>
      </c>
      <c r="D35" s="74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.7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50293220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50293220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1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1"/>
      <c r="F41" s="8"/>
      <c r="G41" s="8"/>
    </row>
    <row r="42" spans="2:28" x14ac:dyDescent="0.2">
      <c r="C42" s="91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13" t="s">
        <v>68</v>
      </c>
      <c r="E45" s="213"/>
      <c r="F45" s="213"/>
      <c r="R45" s="8" t="s">
        <v>23</v>
      </c>
      <c r="S45" s="8" t="s">
        <v>63</v>
      </c>
      <c r="U45" s="24"/>
      <c r="V45" s="24"/>
      <c r="W45" s="24"/>
      <c r="X45" s="24"/>
      <c r="Y45" s="48" t="s">
        <v>68</v>
      </c>
      <c r="Z45" s="48"/>
      <c r="AA45" s="48"/>
    </row>
    <row r="46" spans="2:28" x14ac:dyDescent="0.2">
      <c r="C46" s="8" t="s">
        <v>82</v>
      </c>
      <c r="D46" s="213" t="s">
        <v>83</v>
      </c>
      <c r="E46" s="213"/>
      <c r="F46" s="21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13" t="s">
        <v>59</v>
      </c>
      <c r="E47" s="213"/>
      <c r="F47" s="21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2" t="s">
        <v>0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98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6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93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5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5"/>
      <c r="F41" s="8"/>
      <c r="G41" s="8"/>
    </row>
    <row r="42" spans="2:28" x14ac:dyDescent="0.2">
      <c r="C42" s="95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13" t="s">
        <v>96</v>
      </c>
      <c r="E45" s="213"/>
      <c r="F45" s="213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13" t="s">
        <v>83</v>
      </c>
      <c r="E46" s="213"/>
      <c r="F46" s="21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13" t="s">
        <v>59</v>
      </c>
      <c r="E47" s="213"/>
      <c r="F47" s="21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2" t="s">
        <v>0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99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98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600000</f>
        <v>600000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600000</v>
      </c>
      <c r="Y17" s="79">
        <f t="shared" si="0"/>
        <v>0</v>
      </c>
      <c r="Z17" s="79" t="s">
        <v>100</v>
      </c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6.5" customHeight="1" x14ac:dyDescent="0.25">
      <c r="B31" s="66">
        <v>26</v>
      </c>
      <c r="C31" s="67" t="s">
        <v>54</v>
      </c>
      <c r="D31" s="75">
        <f>600000</f>
        <v>600000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600000</v>
      </c>
      <c r="Y31" s="79"/>
      <c r="Z31" s="79" t="s">
        <v>95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14">
        <f t="shared" si="0"/>
        <v>0</v>
      </c>
      <c r="Y37" s="14">
        <f t="shared" si="0"/>
        <v>0</v>
      </c>
      <c r="Z37" s="14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1200000</v>
      </c>
      <c r="E38" s="71">
        <f t="shared" si="1"/>
        <v>0</v>
      </c>
      <c r="F38" s="71">
        <f t="shared" si="1"/>
        <v>0</v>
      </c>
      <c r="G38" s="71">
        <f t="shared" si="1"/>
        <v>0</v>
      </c>
      <c r="H38" s="71">
        <f t="shared" si="1"/>
        <v>0</v>
      </c>
      <c r="I38" s="71">
        <f t="shared" si="1"/>
        <v>0</v>
      </c>
      <c r="J38" s="71">
        <f t="shared" si="1"/>
        <v>0</v>
      </c>
      <c r="K38" s="71">
        <f t="shared" si="1"/>
        <v>0</v>
      </c>
      <c r="L38" s="71">
        <f t="shared" si="1"/>
        <v>0</v>
      </c>
      <c r="M38" s="71">
        <f t="shared" si="1"/>
        <v>0</v>
      </c>
      <c r="N38" s="71">
        <f t="shared" si="1"/>
        <v>0</v>
      </c>
      <c r="O38" s="71">
        <f t="shared" si="1"/>
        <v>0</v>
      </c>
      <c r="P38" s="71">
        <f t="shared" si="1"/>
        <v>0</v>
      </c>
      <c r="Q38" s="71">
        <f t="shared" si="1"/>
        <v>0</v>
      </c>
      <c r="R38" s="71">
        <f t="shared" si="1"/>
        <v>0</v>
      </c>
      <c r="S38" s="71">
        <f t="shared" si="1"/>
        <v>0</v>
      </c>
      <c r="T38" s="71">
        <f t="shared" si="1"/>
        <v>0</v>
      </c>
      <c r="U38" s="71">
        <f t="shared" si="1"/>
        <v>0</v>
      </c>
      <c r="V38" s="71">
        <f t="shared" si="1"/>
        <v>0</v>
      </c>
      <c r="W38" s="71">
        <f t="shared" si="1"/>
        <v>0</v>
      </c>
      <c r="X38" s="90">
        <f t="shared" si="1"/>
        <v>1200000</v>
      </c>
      <c r="Y38" s="71">
        <f t="shared" si="1"/>
        <v>0</v>
      </c>
      <c r="Z38" s="71"/>
    </row>
    <row r="39" spans="2:28" ht="13.5" thickTop="1" x14ac:dyDescent="0.2">
      <c r="F39" s="8"/>
      <c r="G39" s="8"/>
      <c r="AB39" s="83"/>
    </row>
    <row r="40" spans="2:28" x14ac:dyDescent="0.2">
      <c r="C40" s="97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7"/>
      <c r="F41" s="8"/>
      <c r="G41" s="8"/>
    </row>
    <row r="42" spans="2:28" x14ac:dyDescent="0.2">
      <c r="C42" s="97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13" t="s">
        <v>96</v>
      </c>
      <c r="E45" s="213"/>
      <c r="F45" s="213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13" t="s">
        <v>83</v>
      </c>
      <c r="E46" s="213"/>
      <c r="F46" s="21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59</v>
      </c>
      <c r="D47" s="213" t="s">
        <v>59</v>
      </c>
      <c r="E47" s="213"/>
      <c r="F47" s="21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45:F45"/>
    <mergeCell ref="D46:F46"/>
    <mergeCell ref="D47:F47"/>
    <mergeCell ref="P4:Q4"/>
    <mergeCell ref="R4:S4"/>
  </mergeCells>
  <pageMargins left="0.5" right="0.5" top="0.5" bottom="0.5" header="0" footer="0"/>
  <pageSetup paperSize="9" scale="75" orientation="portrait" horizontalDpi="300" verticalDpi="300" r:id="rId1"/>
  <ignoredErrors>
    <ignoredError sqref="X17" formula="1"/>
  </ignoredError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0"/>
  <sheetViews>
    <sheetView zoomScaleNormal="100" workbookViewId="0">
      <selection activeCell="Z52" sqref="Z5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7.85546875" style="8" customWidth="1"/>
    <col min="5" max="5" width="9.5703125" style="8" customWidth="1"/>
    <col min="6" max="7" width="10.5703125" style="26" hidden="1" customWidth="1"/>
    <col min="8" max="23" width="10.5703125" style="8" hidden="1" customWidth="1"/>
    <col min="24" max="24" width="15.42578125" style="8" customWidth="1"/>
    <col min="25" max="25" width="9.140625" style="8" customWidth="1"/>
    <col min="26" max="26" width="38.140625" style="8" customWidth="1"/>
    <col min="27" max="27" width="14.7109375" style="8" bestFit="1" customWidth="1"/>
    <col min="28" max="16384" width="9.140625" style="8"/>
  </cols>
  <sheetData>
    <row r="1" spans="2:26" s="29" customFormat="1" ht="24.75" customHeight="1" x14ac:dyDescent="0.35">
      <c r="B1" s="222" t="s">
        <v>0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101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0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19.5" customHeight="1" x14ac:dyDescent="0.25">
      <c r="B17" s="66">
        <v>12</v>
      </c>
      <c r="C17" s="69" t="s">
        <v>53</v>
      </c>
      <c r="D17" s="75">
        <f>700000</f>
        <v>700000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8">
        <f>D17</f>
        <v>700000</v>
      </c>
      <c r="Y17" s="79">
        <f t="shared" si="0"/>
        <v>0</v>
      </c>
      <c r="Z17" s="79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7.75" customHeight="1" x14ac:dyDescent="0.25">
      <c r="B31" s="66">
        <v>26</v>
      </c>
      <c r="C31" s="67" t="s">
        <v>54</v>
      </c>
      <c r="D31" s="75">
        <f>1000000+5995400</f>
        <v>6995400</v>
      </c>
      <c r="E31" s="76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8">
        <f>D31</f>
        <v>6995400</v>
      </c>
      <c r="Y31" s="79"/>
      <c r="Z31" s="76" t="s">
        <v>103</v>
      </c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90">
        <f t="shared" ref="D38:Y38" si="1">SUM(D6:D37)</f>
        <v>7695400</v>
      </c>
      <c r="E38" s="105">
        <f t="shared" si="1"/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7695400</v>
      </c>
      <c r="Y38" s="105">
        <f t="shared" si="1"/>
        <v>0</v>
      </c>
      <c r="Z38" s="106"/>
    </row>
    <row r="39" spans="2:28" ht="13.5" thickTop="1" x14ac:dyDescent="0.2">
      <c r="F39" s="8"/>
      <c r="G39" s="8"/>
      <c r="AB39" s="83"/>
    </row>
    <row r="40" spans="2:28" x14ac:dyDescent="0.2">
      <c r="C40" s="99" t="s">
        <v>76</v>
      </c>
      <c r="D40" s="8" t="s">
        <v>16</v>
      </c>
      <c r="F40" s="8"/>
      <c r="G40" s="8"/>
      <c r="J40" s="8" t="s">
        <v>16</v>
      </c>
      <c r="R40" s="8" t="s">
        <v>17</v>
      </c>
      <c r="Y40" s="8" t="s">
        <v>17</v>
      </c>
    </row>
    <row r="41" spans="2:28" x14ac:dyDescent="0.2">
      <c r="C41" s="99"/>
      <c r="F41" s="8"/>
      <c r="G41" s="8"/>
    </row>
    <row r="42" spans="2:28" x14ac:dyDescent="0.2">
      <c r="C42" s="99"/>
      <c r="F42" s="8"/>
      <c r="G42" s="8"/>
    </row>
    <row r="43" spans="2:28" x14ac:dyDescent="0.2">
      <c r="F43" s="8"/>
      <c r="G43" s="8"/>
      <c r="X43" s="24"/>
    </row>
    <row r="44" spans="2:28" x14ac:dyDescent="0.2">
      <c r="F44" s="8"/>
      <c r="G44" s="8"/>
      <c r="X44" s="25"/>
    </row>
    <row r="45" spans="2:28" x14ac:dyDescent="0.2">
      <c r="C45" s="8" t="s">
        <v>81</v>
      </c>
      <c r="D45" s="213" t="s">
        <v>96</v>
      </c>
      <c r="E45" s="213"/>
      <c r="F45" s="213"/>
      <c r="R45" s="8" t="s">
        <v>23</v>
      </c>
      <c r="S45" s="8" t="s">
        <v>63</v>
      </c>
      <c r="U45" s="24"/>
      <c r="V45" s="24"/>
      <c r="W45" s="24"/>
      <c r="X45" s="24"/>
      <c r="Y45" s="48" t="s">
        <v>97</v>
      </c>
      <c r="Z45" s="48"/>
      <c r="AA45" s="48"/>
    </row>
    <row r="46" spans="2:28" x14ac:dyDescent="0.2">
      <c r="C46" s="8" t="s">
        <v>82</v>
      </c>
      <c r="D46" s="213" t="s">
        <v>83</v>
      </c>
      <c r="E46" s="213"/>
      <c r="F46" s="213"/>
      <c r="R46" s="8" t="s">
        <v>24</v>
      </c>
      <c r="S46" s="8" t="s">
        <v>64</v>
      </c>
      <c r="U46" s="24"/>
      <c r="V46" s="24"/>
      <c r="W46" s="24"/>
      <c r="X46" s="24"/>
      <c r="Y46" s="48" t="s">
        <v>73</v>
      </c>
      <c r="Z46" s="48"/>
      <c r="AA46" s="48"/>
    </row>
    <row r="47" spans="2:28" x14ac:dyDescent="0.2">
      <c r="C47" s="8" t="s">
        <v>102</v>
      </c>
      <c r="D47" s="213" t="s">
        <v>102</v>
      </c>
      <c r="E47" s="213"/>
      <c r="F47" s="213"/>
      <c r="R47" s="8" t="s">
        <v>25</v>
      </c>
      <c r="S47" s="8" t="s">
        <v>65</v>
      </c>
      <c r="U47" s="24"/>
      <c r="V47" s="24"/>
      <c r="W47" s="24"/>
      <c r="X47" s="25"/>
      <c r="Y47" s="48" t="s">
        <v>79</v>
      </c>
      <c r="Z47" s="48"/>
      <c r="AA47" s="48"/>
    </row>
    <row r="48" spans="2:28" x14ac:dyDescent="0.2">
      <c r="U48" s="24"/>
      <c r="V48" s="24"/>
      <c r="W48" s="24"/>
      <c r="X48" s="24"/>
      <c r="Y48" s="24"/>
    </row>
    <row r="49" spans="6:25" x14ac:dyDescent="0.2">
      <c r="U49" s="24"/>
      <c r="V49" s="24"/>
      <c r="W49" s="24"/>
      <c r="X49" s="24"/>
      <c r="Y49" s="24"/>
    </row>
    <row r="50" spans="6:25" x14ac:dyDescent="0.2">
      <c r="U50" s="24"/>
      <c r="V50" s="27"/>
      <c r="W50" s="27"/>
      <c r="X50" s="24"/>
      <c r="Y50" s="24"/>
    </row>
    <row r="51" spans="6:25" x14ac:dyDescent="0.2">
      <c r="U51" s="24"/>
      <c r="V51" s="24"/>
      <c r="W51" s="24"/>
      <c r="X51" s="24"/>
      <c r="Y51" s="24"/>
    </row>
    <row r="52" spans="6:25" x14ac:dyDescent="0.2">
      <c r="U52" s="24"/>
      <c r="V52" s="24"/>
      <c r="W52" s="24"/>
      <c r="X52" s="24"/>
      <c r="Y52" s="24"/>
    </row>
    <row r="53" spans="6:25" x14ac:dyDescent="0.2">
      <c r="U53" s="24"/>
      <c r="V53" s="24"/>
      <c r="W53" s="24"/>
      <c r="X53" s="24"/>
      <c r="Y53" s="24"/>
    </row>
    <row r="54" spans="6:25" x14ac:dyDescent="0.2">
      <c r="U54" s="24"/>
      <c r="V54" s="24"/>
      <c r="W54" s="24"/>
      <c r="X54" s="24"/>
      <c r="Y54" s="24"/>
    </row>
    <row r="56" spans="6:25" x14ac:dyDescent="0.2">
      <c r="F56" s="8"/>
      <c r="G56" s="8"/>
    </row>
    <row r="57" spans="6:25" x14ac:dyDescent="0.2">
      <c r="F57" s="8"/>
      <c r="G57" s="8"/>
    </row>
    <row r="58" spans="6:25" x14ac:dyDescent="0.2">
      <c r="F58" s="8"/>
      <c r="G58" s="8"/>
    </row>
    <row r="59" spans="6:25" x14ac:dyDescent="0.2">
      <c r="F59" s="8"/>
      <c r="G59" s="8"/>
    </row>
    <row r="60" spans="6:25" x14ac:dyDescent="0.2">
      <c r="F60" s="8"/>
      <c r="G60" s="8"/>
    </row>
  </sheetData>
  <mergeCells count="19">
    <mergeCell ref="D45:F45"/>
    <mergeCell ref="D46:F46"/>
    <mergeCell ref="D47:F47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3" zoomScaleNormal="100" workbookViewId="0">
      <selection activeCell="AB37" sqref="AB3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10.85546875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22" t="s">
        <v>104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105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02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1000000+10800000+23766750+(113516360)</f>
        <v>149083110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149083110</v>
      </c>
      <c r="Y31" s="79"/>
      <c r="Z31" s="76" t="s">
        <v>110</v>
      </c>
      <c r="AA31" s="110">
        <v>113516360</v>
      </c>
      <c r="AB31" s="109">
        <v>227032720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149783110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149783110</v>
      </c>
      <c r="Y38" s="105">
        <f t="shared" si="1"/>
        <v>0</v>
      </c>
      <c r="Z38" s="106"/>
      <c r="AA38" s="111">
        <v>149783110</v>
      </c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x14ac:dyDescent="0.2">
      <c r="C41" s="101" t="s">
        <v>76</v>
      </c>
      <c r="D41" s="8" t="s">
        <v>16</v>
      </c>
      <c r="F41" s="8"/>
      <c r="G41" s="8"/>
      <c r="J41" s="8" t="s">
        <v>16</v>
      </c>
      <c r="R41" s="8" t="s">
        <v>17</v>
      </c>
      <c r="Y41" s="8" t="s">
        <v>17</v>
      </c>
    </row>
    <row r="42" spans="2:28" x14ac:dyDescent="0.2">
      <c r="C42" s="112"/>
      <c r="F42" s="8"/>
      <c r="G42" s="8"/>
    </row>
    <row r="43" spans="2:28" x14ac:dyDescent="0.2">
      <c r="C43" s="112"/>
      <c r="F43" s="8"/>
      <c r="G43" s="8"/>
    </row>
    <row r="44" spans="2:28" x14ac:dyDescent="0.2">
      <c r="C44" s="101"/>
      <c r="F44" s="8"/>
      <c r="G44" s="8"/>
    </row>
    <row r="45" spans="2:28" x14ac:dyDescent="0.2">
      <c r="C45" s="101"/>
      <c r="F45" s="8"/>
      <c r="G45" s="8"/>
    </row>
    <row r="46" spans="2:28" x14ac:dyDescent="0.2">
      <c r="C46" s="101"/>
      <c r="F46" s="8"/>
      <c r="G46" s="8"/>
    </row>
    <row r="47" spans="2:28" x14ac:dyDescent="0.2">
      <c r="C47" s="101"/>
      <c r="F47" s="8"/>
      <c r="G47" s="8"/>
    </row>
    <row r="48" spans="2:28" x14ac:dyDescent="0.2">
      <c r="F48" s="8"/>
      <c r="G48" s="8"/>
      <c r="X48" s="24"/>
    </row>
    <row r="49" spans="3:27" x14ac:dyDescent="0.2">
      <c r="F49" s="8"/>
      <c r="G49" s="8"/>
      <c r="X49" s="25"/>
    </row>
    <row r="50" spans="3:27" x14ac:dyDescent="0.2">
      <c r="C50" s="8" t="s">
        <v>81</v>
      </c>
      <c r="D50" s="213" t="s">
        <v>96</v>
      </c>
      <c r="E50" s="213"/>
      <c r="F50" s="213"/>
      <c r="R50" s="8" t="s">
        <v>23</v>
      </c>
      <c r="S50" s="8" t="s">
        <v>63</v>
      </c>
      <c r="U50" s="24"/>
      <c r="V50" s="24"/>
      <c r="W50" s="24"/>
      <c r="X50" s="24"/>
      <c r="Y50" s="48" t="s">
        <v>97</v>
      </c>
      <c r="Z50" s="48"/>
      <c r="AA50" s="48"/>
    </row>
    <row r="51" spans="3:27" x14ac:dyDescent="0.2">
      <c r="C51" s="8" t="s">
        <v>106</v>
      </c>
      <c r="D51" s="213" t="s">
        <v>83</v>
      </c>
      <c r="E51" s="213"/>
      <c r="F51" s="213"/>
      <c r="R51" s="8" t="s">
        <v>24</v>
      </c>
      <c r="S51" s="8" t="s">
        <v>64</v>
      </c>
      <c r="U51" s="24"/>
      <c r="V51" s="24"/>
      <c r="W51" s="24"/>
      <c r="X51" s="24"/>
      <c r="Y51" s="48" t="s">
        <v>73</v>
      </c>
      <c r="Z51" s="48"/>
      <c r="AA51" s="48"/>
    </row>
    <row r="52" spans="3:27" x14ac:dyDescent="0.2">
      <c r="C52" s="8" t="s">
        <v>108</v>
      </c>
      <c r="D52" s="48" t="s">
        <v>109</v>
      </c>
      <c r="E52" s="48"/>
      <c r="F52" s="48"/>
      <c r="R52" s="8" t="s">
        <v>25</v>
      </c>
      <c r="S52" s="8" t="s">
        <v>65</v>
      </c>
      <c r="U52" s="24"/>
      <c r="V52" s="24"/>
      <c r="W52" s="24"/>
      <c r="X52" s="25"/>
      <c r="Y52" s="48" t="s">
        <v>79</v>
      </c>
      <c r="Z52" s="48"/>
      <c r="AA52" s="48"/>
    </row>
    <row r="53" spans="3:27" x14ac:dyDescent="0.2">
      <c r="U53" s="24"/>
      <c r="V53" s="24"/>
      <c r="W53" s="24"/>
      <c r="X53" s="24"/>
      <c r="Y53" s="24"/>
    </row>
    <row r="54" spans="3:27" x14ac:dyDescent="0.2">
      <c r="U54" s="24"/>
      <c r="V54" s="24"/>
      <c r="W54" s="24"/>
      <c r="X54" s="24"/>
      <c r="Y54" s="24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ignoredErrors>
    <ignoredError sqref="X31" formula="1"/>
  </ignoredErrors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Y31" sqref="Y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3.5703125" style="8" customWidth="1"/>
    <col min="25" max="25" width="7.28515625" style="8" customWidth="1"/>
    <col min="26" max="26" width="33" style="8" customWidth="1"/>
    <col min="27" max="27" width="15" style="8" customWidth="1"/>
    <col min="28" max="28" width="21" style="8" customWidth="1"/>
    <col min="29" max="29" width="12.140625" style="8" customWidth="1"/>
    <col min="30" max="30" width="10" style="8" bestFit="1" customWidth="1"/>
    <col min="31" max="16384" width="9.140625" style="8"/>
  </cols>
  <sheetData>
    <row r="1" spans="2:26" s="29" customFormat="1" ht="24.75" customHeight="1" x14ac:dyDescent="0.35">
      <c r="B1" s="222" t="s">
        <v>104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111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13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600000</f>
        <v>600000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600000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1000000+10800000+23766750+(113516360*2)+( 83211900/2)</f>
        <v>304205420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304205420</v>
      </c>
      <c r="Y31" s="79"/>
      <c r="Z31" s="76" t="s">
        <v>112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304805420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304805420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1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1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1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1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1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1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E65"/>
  <sheetViews>
    <sheetView topLeftCell="A7" zoomScaleNormal="100" workbookViewId="0">
      <selection activeCell="Z31" sqref="Z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104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114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2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19.5" customHeight="1" x14ac:dyDescent="0.25">
      <c r="B17" s="66">
        <v>12</v>
      </c>
      <c r="C17" s="69" t="s">
        <v>53</v>
      </c>
      <c r="D17" s="107">
        <f>500000</f>
        <v>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500000</v>
      </c>
      <c r="Y17" s="79">
        <f t="shared" si="0"/>
        <v>0</v>
      </c>
      <c r="Z17" s="79" t="s">
        <v>107</v>
      </c>
    </row>
    <row r="18" spans="2:31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31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31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31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31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31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31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31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31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  <c r="AE30" s="65" t="s">
        <v>115</v>
      </c>
    </row>
    <row r="31" spans="2:31" s="65" customFormat="1" ht="84" customHeight="1" x14ac:dyDescent="0.25">
      <c r="B31" s="66">
        <v>26</v>
      </c>
      <c r="C31" s="67" t="s">
        <v>54</v>
      </c>
      <c r="D31" s="107">
        <f>1000000+23766750+113516360+( 83211900/2)+2095917.4</f>
        <v>181984977.40000001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181984977.40000001</v>
      </c>
      <c r="Y31" s="79"/>
      <c r="Z31" s="76" t="s">
        <v>113</v>
      </c>
      <c r="AA31" s="110">
        <v>41605950</v>
      </c>
      <c r="AB31" s="124">
        <f>AA31*2</f>
        <v>83211900</v>
      </c>
      <c r="AC31" s="110">
        <f>23766750+113516360+( 83211900/2)</f>
        <v>178889060</v>
      </c>
      <c r="AD31" s="65">
        <f>23766750+113516360</f>
        <v>137283110</v>
      </c>
      <c r="AE31" s="127">
        <f>AD31+800000</f>
        <v>138083110</v>
      </c>
    </row>
    <row r="32" spans="2:31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182484977.40000001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182484977.40000001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2.5703125" style="8" customWidth="1"/>
    <col min="26" max="26" width="34.5703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104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116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5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9" t="s">
        <v>107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84" customHeight="1" x14ac:dyDescent="0.25">
      <c r="B31" s="66">
        <v>26</v>
      </c>
      <c r="C31" s="67" t="s">
        <v>54</v>
      </c>
      <c r="D31" s="107">
        <f>1000000+( 83211900/2)+2095917.4</f>
        <v>44701867.399999999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>
        <f>D31</f>
        <v>44701867.399999999</v>
      </c>
      <c r="Y31" s="79"/>
      <c r="Z31" s="76" t="s">
        <v>117</v>
      </c>
      <c r="AA31" s="110">
        <v>41605950</v>
      </c>
      <c r="AB31" s="124">
        <f>AA31*2</f>
        <v>83211900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45401867.399999999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45401867.399999999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31" sqref="AA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104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118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28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700000</f>
        <v>700000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700000</v>
      </c>
      <c r="Y17" s="79">
        <f t="shared" si="0"/>
        <v>0</v>
      </c>
      <c r="Z17" s="76" t="s">
        <v>119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1000000+(67800637/2)</f>
        <v>34900318.5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34900318.5</v>
      </c>
      <c r="Y31" s="79"/>
      <c r="Z31" s="76" t="s">
        <v>120</v>
      </c>
      <c r="AA31" s="65">
        <f>(67800637/2)</f>
        <v>33900318.5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35600318.5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35600318.5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2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2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2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2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2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2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B65"/>
  <sheetViews>
    <sheetView topLeftCell="A10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104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123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4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800000+400000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2000000+(68610000 /2)</f>
        <v>36305000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36305000</v>
      </c>
      <c r="Y31" s="79"/>
      <c r="Z31" s="76" t="s">
        <v>121</v>
      </c>
      <c r="AA31" s="65">
        <f>(68610000 /2)</f>
        <v>34305000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37505000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37505000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106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00" verticalDpi="30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Z40" sqref="Z4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9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9.1406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104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125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6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7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51.75" customHeight="1" x14ac:dyDescent="0.25">
      <c r="B31" s="66">
        <v>26</v>
      </c>
      <c r="C31" s="67" t="s">
        <v>54</v>
      </c>
      <c r="D31" s="130">
        <f>5000000+47500000</f>
        <v>52500000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52500000</v>
      </c>
      <c r="Y31" s="79"/>
      <c r="Z31" s="76" t="s">
        <v>124</v>
      </c>
      <c r="AA31" s="65">
        <f>(47500000/2)</f>
        <v>23750000</v>
      </c>
    </row>
    <row r="32" spans="2:27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104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126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38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800000</f>
        <v>800000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800000</v>
      </c>
      <c r="Y17" s="79">
        <f t="shared" si="0"/>
        <v>0</v>
      </c>
      <c r="Z17" s="76" t="s">
        <v>122</v>
      </c>
    </row>
    <row r="18" spans="2:28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51.75" customHeight="1" x14ac:dyDescent="0.25">
      <c r="B31" s="66">
        <v>26</v>
      </c>
      <c r="C31" s="67" t="s">
        <v>54</v>
      </c>
      <c r="D31" s="130">
        <f>5000000+64684700</f>
        <v>69684700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69684700</v>
      </c>
      <c r="Y31" s="79"/>
      <c r="Z31" s="76" t="s">
        <v>127</v>
      </c>
      <c r="AA31" s="65">
        <f>(64684700/2)</f>
        <v>32342350</v>
      </c>
      <c r="AB31" s="65">
        <v>32342350</v>
      </c>
    </row>
    <row r="32" spans="2:28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70484700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70484700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3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3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3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3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3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3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E18" sqref="E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104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126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0" t="s">
        <v>10</v>
      </c>
      <c r="Y5" s="42" t="s">
        <v>11</v>
      </c>
      <c r="Z5" s="224"/>
    </row>
    <row r="6" spans="2:26" s="65" customFormat="1" ht="19.5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19.5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19.5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19.5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19.5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19.5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19.5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19.5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19.5" customHeight="1" x14ac:dyDescent="0.25">
      <c r="B14" s="66">
        <v>9</v>
      </c>
      <c r="C14" s="67" t="s">
        <v>33</v>
      </c>
      <c r="D14" s="142">
        <v>90000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90000</v>
      </c>
      <c r="Y14" s="67">
        <f t="shared" si="0"/>
        <v>0</v>
      </c>
      <c r="Z14" s="67" t="s">
        <v>128</v>
      </c>
    </row>
    <row r="15" spans="2:26" s="65" customFormat="1" ht="19.5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19.5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0.25" customHeight="1" x14ac:dyDescent="0.25">
      <c r="B17" s="66">
        <v>12</v>
      </c>
      <c r="C17" s="69" t="s">
        <v>53</v>
      </c>
      <c r="D17" s="67"/>
      <c r="E17" s="67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ref="X17" si="1">F17+H17+J17+L17+N17+P17+R17+T17+V17</f>
        <v>0</v>
      </c>
      <c r="Y17" s="67">
        <f t="shared" ref="Y17" si="2">G17+I17+K17+M17+O17+Q17+S17+U17+W17</f>
        <v>0</v>
      </c>
      <c r="Z17" s="67"/>
    </row>
    <row r="18" spans="2:26" s="65" customFormat="1" ht="16.5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16.5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16.5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16.5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16.5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16.5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16.5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16.5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16.5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16.5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16.5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16.5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16.5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15" customHeight="1" x14ac:dyDescent="0.25">
      <c r="B31" s="66">
        <v>26</v>
      </c>
      <c r="C31" s="67" t="s">
        <v>54</v>
      </c>
      <c r="D31" s="67">
        <v>10000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43">
        <f>D31</f>
        <v>10000</v>
      </c>
      <c r="Y31" s="67">
        <f t="shared" ref="Y31" si="3">G31+I31+K31+M31+O31+Q31+S31+U31+W31</f>
        <v>0</v>
      </c>
      <c r="Z31" s="67"/>
    </row>
    <row r="32" spans="2:26" s="65" customFormat="1" ht="16.5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16.5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16.5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16.5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16.5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100000</v>
      </c>
      <c r="E38" s="105">
        <f t="shared" ref="E38:Y38" si="4">SUM(E6:E37)</f>
        <v>0</v>
      </c>
      <c r="F38" s="105">
        <f t="shared" si="4"/>
        <v>0</v>
      </c>
      <c r="G38" s="105">
        <f t="shared" si="4"/>
        <v>0</v>
      </c>
      <c r="H38" s="105">
        <f t="shared" si="4"/>
        <v>0</v>
      </c>
      <c r="I38" s="105">
        <f t="shared" si="4"/>
        <v>0</v>
      </c>
      <c r="J38" s="105">
        <f t="shared" si="4"/>
        <v>0</v>
      </c>
      <c r="K38" s="105">
        <f t="shared" si="4"/>
        <v>0</v>
      </c>
      <c r="L38" s="105">
        <f t="shared" si="4"/>
        <v>0</v>
      </c>
      <c r="M38" s="105">
        <f t="shared" si="4"/>
        <v>0</v>
      </c>
      <c r="N38" s="105">
        <f t="shared" si="4"/>
        <v>0</v>
      </c>
      <c r="O38" s="105">
        <f t="shared" si="4"/>
        <v>0</v>
      </c>
      <c r="P38" s="105">
        <f t="shared" si="4"/>
        <v>0</v>
      </c>
      <c r="Q38" s="105">
        <f t="shared" si="4"/>
        <v>0</v>
      </c>
      <c r="R38" s="105">
        <f t="shared" si="4"/>
        <v>0</v>
      </c>
      <c r="S38" s="105">
        <f t="shared" si="4"/>
        <v>0</v>
      </c>
      <c r="T38" s="105">
        <f t="shared" si="4"/>
        <v>0</v>
      </c>
      <c r="U38" s="105">
        <f t="shared" si="4"/>
        <v>0</v>
      </c>
      <c r="V38" s="105">
        <f t="shared" si="4"/>
        <v>0</v>
      </c>
      <c r="W38" s="105">
        <f t="shared" si="4"/>
        <v>0</v>
      </c>
      <c r="X38" s="133">
        <f>SUM(X6:X37)</f>
        <v>100000</v>
      </c>
      <c r="Y38" s="105">
        <f t="shared" si="4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97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73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12" sqref="E11:E1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130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4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21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30">
        <f>4000000</f>
        <v>4000000</v>
      </c>
      <c r="E31" s="108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4000000</v>
      </c>
      <c r="Y31" s="79"/>
      <c r="Z31" s="76" t="s">
        <v>131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zoomScaleNormal="100" workbookViewId="0">
      <selection activeCell="E9" sqref="E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135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6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1000000</f>
        <v>1000000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1000000</v>
      </c>
      <c r="Y17" s="79">
        <f t="shared" si="0"/>
        <v>0</v>
      </c>
      <c r="Z17" s="76" t="s">
        <v>122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6500000</f>
        <v>6500000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6500000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7500000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7500000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Z28" sqref="Z2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136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48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1200000</f>
        <v>1200000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1200000</v>
      </c>
      <c r="Y17" s="79">
        <f t="shared" si="0"/>
        <v>0</v>
      </c>
      <c r="Z17" s="76" t="s">
        <v>137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1500000</f>
        <v>1500000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1500000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4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4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4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4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4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4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139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0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2000000</f>
        <v>2000000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2000000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3500000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3500000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1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1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1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1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1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3" zoomScaleNormal="100" workbookViewId="0">
      <selection activeCell="AA14" sqref="AA1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140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2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2">
        <v>200000</v>
      </c>
      <c r="Y14" s="67">
        <f t="shared" si="0"/>
        <v>0</v>
      </c>
      <c r="Z14" s="67" t="s">
        <v>143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07">
        <f>1500000</f>
        <v>1500000</v>
      </c>
      <c r="E17" s="108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>
        <f>D17</f>
        <v>1500000</v>
      </c>
      <c r="Y17" s="79">
        <f t="shared" si="0"/>
        <v>0</v>
      </c>
      <c r="Z17" s="76" t="s">
        <v>138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30">
        <f>8000000</f>
        <v>8000000</v>
      </c>
      <c r="E31" s="6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131">
        <f>D31</f>
        <v>8000000</v>
      </c>
      <c r="Y31" s="79"/>
      <c r="Z31" s="76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9700000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9700000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Normal="100" workbookViewId="0">
      <selection activeCell="X16" sqref="X16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141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4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800000</f>
        <v>800000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800000</v>
      </c>
      <c r="Y17" s="67">
        <f t="shared" si="0"/>
        <v>0</v>
      </c>
      <c r="Z17" s="69" t="s">
        <v>142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1500000</f>
        <v>1500000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1500000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2300000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2300000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Normal="100" workbookViewId="0">
      <selection activeCell="E10" sqref="E1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30.4257812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144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56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5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5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5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5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5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5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5" zoomScaleNormal="100" workbookViewId="0">
      <selection activeCell="D11" sqref="D1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146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142">
        <v>100000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43">
        <f>D14</f>
        <v>100000</v>
      </c>
      <c r="Y14" s="67">
        <f t="shared" si="0"/>
        <v>0</v>
      </c>
      <c r="Z14" s="67" t="s">
        <v>153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1200000</f>
        <v>1200000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1200000</v>
      </c>
      <c r="Y17" s="67">
        <f t="shared" si="0"/>
        <v>0</v>
      </c>
      <c r="Z17" s="69" t="s">
        <v>145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60">
        <f>4000000</f>
        <v>4000000</v>
      </c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61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AA18" sqref="AA1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154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4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1300000+1700000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3.5*1500</f>
        <v>5250</v>
      </c>
      <c r="AB18" s="65">
        <f>AA18*320</f>
        <v>1680000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9000000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9000000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Normal="100" workbookViewId="0">
      <selection activeCell="E17" sqref="E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155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6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200000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200000</v>
      </c>
      <c r="Y14" s="67">
        <f t="shared" si="0"/>
        <v>0</v>
      </c>
      <c r="Z14" s="67" t="s">
        <v>156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1500000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f>3.5*1650</f>
        <v>5775</v>
      </c>
      <c r="AB18" s="65">
        <f>AA18*320</f>
        <v>1848000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9000000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10700000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10700000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Normal="100" workbookViewId="0">
      <selection activeCell="X43" sqref="X4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157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1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8">
        <v>80000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>
        <f>D14</f>
        <v>80000</v>
      </c>
      <c r="Y14" s="67">
        <f t="shared" si="0"/>
        <v>0</v>
      </c>
      <c r="Z14" s="67" t="s">
        <v>158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1600000</f>
        <v>1600000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1600000</v>
      </c>
      <c r="Y17" s="67">
        <f t="shared" si="0"/>
        <v>0</v>
      </c>
      <c r="Z17" s="69" t="s">
        <v>145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7000000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  <c r="AA31" s="65">
        <f>157000+186200+380000+70000+6000000</f>
        <v>6793200</v>
      </c>
      <c r="AB31" s="111">
        <f>X31-AA31</f>
        <v>206800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65">
        <v>1274.7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  <c r="AA33" s="175">
        <f>AA32*2950</f>
        <v>3760365</v>
      </c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  <c r="AA34" s="175">
        <v>1900000</v>
      </c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A35" s="124">
        <f>SUM(AA33:AA34)</f>
        <v>5660365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8680000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8680000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B28" zoomScaleNormal="100" workbookViewId="0">
      <selection activeCell="C50" sqref="C50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161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3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30.75" customHeight="1" x14ac:dyDescent="0.25">
      <c r="B17" s="66">
        <v>12</v>
      </c>
      <c r="C17" s="69" t="s">
        <v>53</v>
      </c>
      <c r="D17" s="158">
        <f>500000+1800000+800000</f>
        <v>3100000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3100000</v>
      </c>
      <c r="Y17" s="67">
        <f t="shared" si="0"/>
        <v>0</v>
      </c>
      <c r="Z17" s="69" t="s">
        <v>159</v>
      </c>
      <c r="AA17" s="65">
        <v>1900000</v>
      </c>
      <c r="AB17" s="65">
        <v>9.15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18.3</v>
      </c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27450</v>
      </c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AB19*480</f>
        <v>13176000</v>
      </c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8100000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8100000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81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83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79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ignoredErrors>
    <ignoredError sqref="X17" formula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65"/>
  <sheetViews>
    <sheetView topLeftCell="A25" zoomScaleNormal="100" workbookViewId="0">
      <selection activeCell="D17" sqref="D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1" style="8" customWidth="1"/>
    <col min="29" max="29" width="19.140625" style="8" customWidth="1"/>
    <col min="30" max="30" width="12.85546875" style="8" bestFit="1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162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6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0" s="65" customFormat="1" ht="30.75" customHeight="1" x14ac:dyDescent="0.25">
      <c r="B17" s="66">
        <v>12</v>
      </c>
      <c r="C17" s="69" t="s">
        <v>53</v>
      </c>
      <c r="D17" s="158">
        <f>500000+1800000</f>
        <v>2300000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2300000</v>
      </c>
      <c r="Y17" s="67">
        <f t="shared" si="0"/>
        <v>0</v>
      </c>
      <c r="Z17" s="69" t="s">
        <v>159</v>
      </c>
      <c r="AA17" s="65">
        <v>1900000</v>
      </c>
      <c r="AB17" s="65">
        <v>0.98</v>
      </c>
    </row>
    <row r="18" spans="2:30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A18" s="65">
        <v>50000</v>
      </c>
      <c r="AB18" s="65">
        <f>AB17*2</f>
        <v>1.96</v>
      </c>
    </row>
    <row r="19" spans="2:30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A19" s="65">
        <f>SUM(AA17:AA18)</f>
        <v>1950000</v>
      </c>
      <c r="AB19" s="65">
        <f>AB18*1500</f>
        <v>2940</v>
      </c>
    </row>
    <row r="20" spans="2:30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180">
        <f>AB19*480</f>
        <v>1411200</v>
      </c>
    </row>
    <row r="21" spans="2:30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65">
        <f>58*45*40</f>
        <v>104400</v>
      </c>
      <c r="AC21" s="65">
        <f>AB21/1000000</f>
        <v>0.10440000000000001</v>
      </c>
      <c r="AD21" s="65">
        <f>AC21*250</f>
        <v>26.1</v>
      </c>
    </row>
    <row r="22" spans="2:30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58*45*40</f>
        <v>104400</v>
      </c>
      <c r="AC22" s="65">
        <f>AB22/1000000</f>
        <v>0.10440000000000001</v>
      </c>
      <c r="AD22" s="65">
        <f>AC22*250</f>
        <v>26.1</v>
      </c>
    </row>
    <row r="23" spans="2:30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66*46*35</f>
        <v>106260</v>
      </c>
      <c r="AC23" s="65">
        <f>AB23/1000000</f>
        <v>0.10625999999999999</v>
      </c>
      <c r="AD23" s="65">
        <f>AC23*250</f>
        <v>26.564999999999998</v>
      </c>
    </row>
    <row r="24" spans="2:30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f>66*46*35</f>
        <v>106260</v>
      </c>
      <c r="AC24" s="65">
        <f>AB24/1000000</f>
        <v>0.10625999999999999</v>
      </c>
      <c r="AD24" s="65">
        <f>AC24*250</f>
        <v>26.564999999999998</v>
      </c>
    </row>
    <row r="25" spans="2:30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D25" s="65">
        <f>SUM(AD21:AD24)</f>
        <v>105.33</v>
      </c>
    </row>
    <row r="26" spans="2:30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65">
        <f>AD25*8</f>
        <v>842.64</v>
      </c>
    </row>
    <row r="27" spans="2:30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D27" s="127">
        <f>AD26*480</f>
        <v>404467.20000000001</v>
      </c>
    </row>
    <row r="28" spans="2:30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0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0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0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0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  <c r="AB35" s="65" t="s">
        <v>160</v>
      </c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5800000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5800000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7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7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7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7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7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7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A34" zoomScaleNormal="100" workbookViewId="0">
      <selection activeCell="X45" sqref="X45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166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78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>
        <v>30000</v>
      </c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>D14</f>
        <v>30000</v>
      </c>
      <c r="Y14" s="67">
        <f t="shared" si="0"/>
        <v>0</v>
      </c>
      <c r="Z14" s="67" t="s">
        <v>167</v>
      </c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500000+1900000</f>
        <v>2400000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2400000</v>
      </c>
      <c r="Y17" s="67">
        <f t="shared" si="0"/>
        <v>0</v>
      </c>
      <c r="Z17" s="69" t="s">
        <v>159</v>
      </c>
      <c r="AD17" s="65">
        <f>1.2*1500*420</f>
        <v>756000</v>
      </c>
      <c r="AE17" s="65">
        <f>1400*420</f>
        <v>588000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B18" s="65">
        <v>30000</v>
      </c>
      <c r="AE18" s="65">
        <f>AD17-AE17</f>
        <v>168000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B19" s="65">
        <f>500000+1900000</f>
        <v>2400000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B20" s="65">
        <f>3500000</f>
        <v>3500000</v>
      </c>
      <c r="AC20" s="110">
        <f>AE29</f>
        <v>1594934</v>
      </c>
      <c r="AD20" s="124">
        <f>AB20-AC20</f>
        <v>1905066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B21" s="110">
        <f>SUM(AB18:AB20)</f>
        <v>5930000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  <c r="AB22" s="65">
        <f>AE29</f>
        <v>1594934</v>
      </c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>
        <f>AB21-AB22</f>
        <v>4335066</v>
      </c>
      <c r="AE23" s="110">
        <v>381000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>
        <v>698000</v>
      </c>
      <c r="AE24" s="110">
        <v>19800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>
        <f>AB23-AB24</f>
        <v>3637066</v>
      </c>
      <c r="AE25" s="110">
        <v>187634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B26" s="65">
        <f>1300000</f>
        <v>1300000</v>
      </c>
      <c r="AE26" s="110">
        <v>241500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  <c r="AB27" s="110">
        <f>AB25-AB26</f>
        <v>2337066</v>
      </c>
      <c r="AC27" s="124">
        <f>AB21*10%</f>
        <v>593000</v>
      </c>
      <c r="AE27" s="110">
        <v>720000</v>
      </c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  <c r="AC28" s="124">
        <f>AB27+AC27</f>
        <v>2930066</v>
      </c>
      <c r="AE28" s="110">
        <v>45000</v>
      </c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  <c r="AE29" s="175">
        <f>SUM(AE23:AE28)</f>
        <v>1594934</v>
      </c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3500000</f>
        <v>3500000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3500000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5930000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5930000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79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7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79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7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7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7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65"/>
  <sheetViews>
    <sheetView topLeftCell="B1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2.710937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168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1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31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  <c r="AC17" s="127">
        <v>12.6</v>
      </c>
      <c r="AD17" s="65">
        <f>(0.4*0.4*0.32)</f>
        <v>5.1200000000000009E-2</v>
      </c>
      <c r="AE17" s="65">
        <f>AD17*250</f>
        <v>12.800000000000002</v>
      </c>
    </row>
    <row r="18" spans="2:31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  <c r="AC18" s="65">
        <v>22.35</v>
      </c>
      <c r="AD18" s="65">
        <f>(0.58*0.45*0.4)</f>
        <v>0.10440000000000001</v>
      </c>
      <c r="AE18" s="127">
        <f>AD18*250</f>
        <v>26.1</v>
      </c>
    </row>
    <row r="19" spans="2:31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  <c r="AC19" s="65">
        <f>18+30</f>
        <v>48</v>
      </c>
      <c r="AD19" s="65">
        <f>AC19*10</f>
        <v>480</v>
      </c>
      <c r="AE19" s="110">
        <f>AD19*450</f>
        <v>216000</v>
      </c>
    </row>
    <row r="20" spans="2:31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  <c r="AC20" s="65">
        <v>25</v>
      </c>
      <c r="AD20" s="65">
        <v>0.14000000000000001</v>
      </c>
      <c r="AE20" s="127">
        <f>AD20*250</f>
        <v>35</v>
      </c>
    </row>
    <row r="21" spans="2:31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  <c r="AC21" s="65">
        <v>35</v>
      </c>
      <c r="AD21" s="65">
        <f>AC21*10</f>
        <v>350</v>
      </c>
      <c r="AE21" s="110">
        <f>AD21*450</f>
        <v>157500</v>
      </c>
    </row>
    <row r="22" spans="2:31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31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  <c r="AB23" s="65" t="s">
        <v>169</v>
      </c>
      <c r="AC23" s="65">
        <v>60.04</v>
      </c>
      <c r="AD23" s="110">
        <f>AC23*3*3100</f>
        <v>558372</v>
      </c>
    </row>
    <row r="24" spans="2:31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  <c r="AB24" s="65" t="s">
        <v>170</v>
      </c>
      <c r="AD24" s="110">
        <v>250000</v>
      </c>
    </row>
    <row r="25" spans="2:31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  <c r="AB25" s="65" t="s">
        <v>171</v>
      </c>
      <c r="AD25" s="110">
        <v>3000000</v>
      </c>
    </row>
    <row r="26" spans="2:31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  <c r="AD26" s="175">
        <f>SUM(AD23:AD25)</f>
        <v>3808372</v>
      </c>
    </row>
    <row r="27" spans="2:31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31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31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31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31" s="65" customFormat="1" ht="21" customHeight="1" x14ac:dyDescent="0.25">
      <c r="B31" s="66">
        <v>26</v>
      </c>
      <c r="C31" s="67" t="s">
        <v>54</v>
      </c>
      <c r="D31" s="158">
        <f>800000+3000000</f>
        <v>3800000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3800000</v>
      </c>
      <c r="Y31" s="67">
        <f t="shared" si="0"/>
        <v>0</v>
      </c>
      <c r="Z31" s="69" t="s">
        <v>134</v>
      </c>
    </row>
    <row r="32" spans="2:31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5300000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5300000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4" zoomScaleNormal="100" workbookViewId="0">
      <selection activeCell="B2" sqref="B2:Z2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168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3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500000+1000000</f>
        <v>1500000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1500000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500000+5000000</f>
        <v>5500000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5500000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7" zoomScaleNormal="100" workbookViewId="0">
      <selection activeCell="Z17" sqref="Z17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172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5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30.75" customHeight="1" x14ac:dyDescent="0.25">
      <c r="B17" s="66">
        <v>12</v>
      </c>
      <c r="C17" s="69" t="s">
        <v>53</v>
      </c>
      <c r="D17" s="158">
        <f>1000000</f>
        <v>1000000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1000000</v>
      </c>
      <c r="Y17" s="67">
        <f t="shared" si="0"/>
        <v>0</v>
      </c>
      <c r="Z17" s="69" t="s">
        <v>159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</f>
        <v>4000000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4000000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5000000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5000000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6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6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6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6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6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6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7" zoomScaleNormal="100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2" t="s">
        <v>175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174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7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6" s="65" customFormat="1" ht="57.75" customHeight="1" x14ac:dyDescent="0.25">
      <c r="B17" s="66">
        <v>12</v>
      </c>
      <c r="C17" s="69" t="s">
        <v>53</v>
      </c>
      <c r="D17" s="158">
        <f>4000000+500000</f>
        <v>4500000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4500000</v>
      </c>
      <c r="Y17" s="67">
        <f t="shared" si="0"/>
        <v>0</v>
      </c>
      <c r="Z17" s="69" t="s">
        <v>173</v>
      </c>
    </row>
    <row r="18" spans="2:26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6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6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6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6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6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6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6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6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6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6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6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6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6" s="65" customFormat="1" ht="21" customHeight="1" x14ac:dyDescent="0.25">
      <c r="B31" s="66">
        <v>26</v>
      </c>
      <c r="C31" s="67" t="s">
        <v>54</v>
      </c>
      <c r="D31" s="158">
        <f>4000000+3000000</f>
        <v>7000000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7000000</v>
      </c>
      <c r="Y31" s="67">
        <f t="shared" si="0"/>
        <v>0</v>
      </c>
      <c r="Z31" s="69" t="s">
        <v>134</v>
      </c>
    </row>
    <row r="32" spans="2:26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11500000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11500000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8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8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8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8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8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8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2" zoomScale="85" zoomScaleNormal="85" workbookViewId="0">
      <selection activeCell="D31" sqref="D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2" t="s">
        <v>175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174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89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31" zoomScale="85" zoomScaleNormal="85" workbookViewId="0">
      <selection activeCell="X29" sqref="X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6" s="29" customFormat="1" ht="24.75" customHeight="1" x14ac:dyDescent="0.35">
      <c r="B1" s="222" t="s">
        <v>175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176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1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800000+2200000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v>9500000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9500000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5238080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12500000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12500000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6" zoomScale="85" zoomScaleNormal="85" workbookViewId="0">
      <selection activeCell="E23" sqref="E23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2" t="s">
        <v>175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7" s="29" customFormat="1" ht="25.5" customHeight="1" x14ac:dyDescent="0.35">
      <c r="B2" s="223" t="s">
        <v>189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7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93" t="s">
        <v>10</v>
      </c>
      <c r="Y5" s="42" t="s">
        <v>11</v>
      </c>
      <c r="Z5" s="22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7" s="65" customFormat="1" ht="57.75" customHeight="1" x14ac:dyDescent="0.25">
      <c r="B17" s="66">
        <v>12</v>
      </c>
      <c r="C17" s="69" t="s">
        <v>53</v>
      </c>
      <c r="D17" s="158">
        <f>5000000</f>
        <v>5000000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5000000</v>
      </c>
      <c r="Y17" s="67">
        <f t="shared" si="0"/>
        <v>0</v>
      </c>
      <c r="Z17" s="69" t="s">
        <v>159</v>
      </c>
    </row>
    <row r="18" spans="2:27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7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7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7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7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7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7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7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7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7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7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7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7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7" s="65" customFormat="1" ht="21" customHeight="1" x14ac:dyDescent="0.25">
      <c r="B31" s="66">
        <v>26</v>
      </c>
      <c r="C31" s="67" t="s">
        <v>54</v>
      </c>
      <c r="D31" s="158">
        <f>2500000 +6500000</f>
        <v>9000000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9000000</v>
      </c>
      <c r="Y31" s="67">
        <f t="shared" si="0"/>
        <v>0</v>
      </c>
      <c r="Z31" s="69" t="s">
        <v>134</v>
      </c>
      <c r="AA31" s="109">
        <v>4261920</v>
      </c>
    </row>
    <row r="32" spans="2:27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4738080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14000000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14000000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94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94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94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94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94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94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10" zoomScale="85" zoomScaleNormal="85" workbookViewId="0">
      <selection activeCell="AB31" sqref="AB31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2" t="s">
        <v>175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7" s="29" customFormat="1" ht="25.5" customHeight="1" x14ac:dyDescent="0.35">
      <c r="B2" s="223" t="s">
        <v>190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7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7" t="s">
        <v>10</v>
      </c>
      <c r="Y5" s="42" t="s">
        <v>11</v>
      </c>
      <c r="Z5" s="22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4000000</f>
        <v>4000000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4000000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6000000</f>
        <v>6000000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6000000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1738080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10000000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10000000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08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08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08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08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08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08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28" zoomScale="85" zoomScaleNormal="85" workbookViewId="0">
      <selection activeCell="D38" sqref="D38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2" t="s">
        <v>175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7" s="29" customFormat="1" ht="25.5" customHeight="1" x14ac:dyDescent="0.35">
      <c r="B2" s="223" t="s">
        <v>191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7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09" t="s">
        <v>10</v>
      </c>
      <c r="Y5" s="42" t="s">
        <v>11</v>
      </c>
      <c r="Z5" s="22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66">
        <v>12</v>
      </c>
      <c r="C17" s="69" t="s">
        <v>53</v>
      </c>
      <c r="D17" s="158">
        <f>3000000</f>
        <v>3000000</v>
      </c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>
        <f>D17</f>
        <v>3000000</v>
      </c>
      <c r="Y17" s="67">
        <f t="shared" si="0"/>
        <v>0</v>
      </c>
      <c r="Z17" s="69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158">
        <f>5000000</f>
        <v>5000000</v>
      </c>
      <c r="E31" s="1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>
        <f>D31</f>
        <v>5000000</v>
      </c>
      <c r="Y31" s="67">
        <f t="shared" si="0"/>
        <v>0</v>
      </c>
      <c r="Z31" s="69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8000000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8000000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0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0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0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0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0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0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abSelected="1" topLeftCell="A25" zoomScaleNormal="100" workbookViewId="0">
      <selection activeCell="D29" sqref="D29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2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5703125" style="8" customWidth="1"/>
    <col min="27" max="27" width="29.28515625" style="8" customWidth="1"/>
    <col min="28" max="28" width="25.7109375" style="8" customWidth="1"/>
    <col min="29" max="29" width="19.140625" style="8" customWidth="1"/>
    <col min="30" max="30" width="16.42578125" style="8" customWidth="1"/>
    <col min="31" max="31" width="15" style="8" customWidth="1"/>
    <col min="32" max="32" width="9.140625" style="8"/>
    <col min="33" max="33" width="12.85546875" style="8" bestFit="1" customWidth="1"/>
    <col min="34" max="16384" width="9.140625" style="8"/>
  </cols>
  <sheetData>
    <row r="1" spans="2:27" s="29" customFormat="1" ht="24.75" customHeight="1" x14ac:dyDescent="0.35">
      <c r="B1" s="222" t="s">
        <v>175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7" s="29" customFormat="1" ht="25.5" customHeight="1" x14ac:dyDescent="0.35">
      <c r="B2" s="223" t="s">
        <v>192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7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7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7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211" t="s">
        <v>10</v>
      </c>
      <c r="Y5" s="42" t="s">
        <v>11</v>
      </c>
      <c r="Z5" s="224"/>
    </row>
    <row r="6" spans="2:27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7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7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7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7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  <c r="AA10" s="65">
        <v>25</v>
      </c>
    </row>
    <row r="11" spans="2:27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7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7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7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7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7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57.75" customHeight="1" x14ac:dyDescent="0.25">
      <c r="B17" s="226">
        <v>12</v>
      </c>
      <c r="C17" s="227" t="s">
        <v>53</v>
      </c>
      <c r="D17" s="228">
        <f>2000000</f>
        <v>2000000</v>
      </c>
      <c r="E17" s="229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>
        <f>D17</f>
        <v>2000000</v>
      </c>
      <c r="Y17" s="231">
        <f t="shared" si="0"/>
        <v>0</v>
      </c>
      <c r="Z17" s="227" t="s">
        <v>159</v>
      </c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/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 t="shared" si="0"/>
        <v>0</v>
      </c>
      <c r="Y22" s="67">
        <f t="shared" si="0"/>
        <v>0</v>
      </c>
      <c r="Z22" s="67"/>
    </row>
    <row r="23" spans="2:28" s="65" customFormat="1" ht="21" customHeight="1" x14ac:dyDescent="0.25">
      <c r="B23" s="66">
        <v>18</v>
      </c>
      <c r="C23" s="67" t="s">
        <v>43</v>
      </c>
      <c r="D23" s="6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 t="shared" si="0"/>
        <v>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168"/>
      <c r="E30" s="1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226">
        <v>26</v>
      </c>
      <c r="C31" s="231" t="s">
        <v>54</v>
      </c>
      <c r="D31" s="228">
        <f>5000000</f>
        <v>5000000</v>
      </c>
      <c r="E31" s="232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0"/>
      <c r="T31" s="230"/>
      <c r="U31" s="230"/>
      <c r="V31" s="230"/>
      <c r="W31" s="230"/>
      <c r="X31" s="230">
        <f>D31</f>
        <v>5000000</v>
      </c>
      <c r="Y31" s="231">
        <f t="shared" si="0"/>
        <v>0</v>
      </c>
      <c r="Z31" s="227" t="s">
        <v>134</v>
      </c>
      <c r="AA31" s="109">
        <v>4261920</v>
      </c>
      <c r="AB31" s="65">
        <f>170000*2</f>
        <v>340000</v>
      </c>
    </row>
    <row r="32" spans="2:28" s="65" customFormat="1" ht="21" customHeight="1" x14ac:dyDescent="0.25">
      <c r="B32" s="66">
        <v>27</v>
      </c>
      <c r="C32" s="67" t="s">
        <v>52</v>
      </c>
      <c r="D32" s="168"/>
      <c r="E32" s="1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A32" s="111">
        <f>X31-AA31</f>
        <v>738080</v>
      </c>
    </row>
    <row r="33" spans="2:28" s="65" customFormat="1" ht="21" customHeight="1" x14ac:dyDescent="0.25">
      <c r="B33" s="66">
        <v>28</v>
      </c>
      <c r="C33" s="67" t="s">
        <v>36</v>
      </c>
      <c r="D33" s="168"/>
      <c r="E33" s="1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168"/>
      <c r="E34" s="1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168"/>
      <c r="E35" s="1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168"/>
      <c r="E36" s="1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69"/>
      <c r="E37" s="170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67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71">
        <f>SUM(D6:D37)</f>
        <v>7000000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05">
        <f>SUM(X6:X37)</f>
        <v>7000000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212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212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212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212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212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212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163</v>
      </c>
      <c r="D50" s="225" t="s">
        <v>96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164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108</v>
      </c>
      <c r="D52" s="119" t="s">
        <v>109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165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D50:F50"/>
    <mergeCell ref="D51:F51"/>
    <mergeCell ref="P4:Q4"/>
    <mergeCell ref="R4:S4"/>
    <mergeCell ref="T4:U4"/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</mergeCells>
  <pageMargins left="0.5" right="0.5" top="0.5" bottom="0.5" header="0" footer="0"/>
  <pageSetup paperSize="9" scale="75" orientation="portrait" horizontalDpi="360" verticalDpi="360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G23"/>
  <sheetViews>
    <sheetView topLeftCell="A13" workbookViewId="0">
      <selection activeCell="G19" sqref="G19"/>
    </sheetView>
  </sheetViews>
  <sheetFormatPr defaultRowHeight="15" x14ac:dyDescent="0.25"/>
  <cols>
    <col min="5" max="5" width="49.85546875" customWidth="1"/>
    <col min="6" max="6" width="31.5703125" customWidth="1"/>
    <col min="7" max="7" width="43.7109375" customWidth="1"/>
  </cols>
  <sheetData>
    <row r="9" spans="5:7" ht="15.75" thickBot="1" x14ac:dyDescent="0.3">
      <c r="E9" s="8"/>
      <c r="F9" s="8"/>
      <c r="G9" s="195"/>
    </row>
    <row r="10" spans="5:7" ht="77.25" customHeight="1" thickBot="1" x14ac:dyDescent="0.3">
      <c r="E10" s="196" t="s">
        <v>177</v>
      </c>
      <c r="F10" s="197" t="s">
        <v>178</v>
      </c>
      <c r="G10" s="195" t="s">
        <v>179</v>
      </c>
    </row>
    <row r="11" spans="5:7" ht="30.75" thickBot="1" x14ac:dyDescent="0.3">
      <c r="E11" s="198" t="s">
        <v>180</v>
      </c>
      <c r="F11" s="198" t="s">
        <v>181</v>
      </c>
      <c r="G11" s="199" t="s">
        <v>182</v>
      </c>
    </row>
    <row r="12" spans="5:7" ht="15.75" thickBot="1" x14ac:dyDescent="0.3">
      <c r="E12" s="200" t="s">
        <v>183</v>
      </c>
      <c r="F12" s="201" t="s">
        <v>184</v>
      </c>
      <c r="G12" s="195" t="s">
        <v>179</v>
      </c>
    </row>
    <row r="13" spans="5:7" x14ac:dyDescent="0.25">
      <c r="E13" s="8"/>
      <c r="F13" s="8"/>
      <c r="G13" s="8"/>
    </row>
    <row r="14" spans="5:7" x14ac:dyDescent="0.25">
      <c r="E14" s="202"/>
    </row>
    <row r="17" spans="5:7" ht="27.75" customHeight="1" x14ac:dyDescent="0.25">
      <c r="E17" s="203" t="s">
        <v>183</v>
      </c>
      <c r="F17" s="203" t="s">
        <v>188</v>
      </c>
      <c r="G17" s="204" t="s">
        <v>179</v>
      </c>
    </row>
    <row r="18" spans="5:7" ht="28.5" x14ac:dyDescent="0.25">
      <c r="E18" s="205" t="s">
        <v>186</v>
      </c>
      <c r="F18" s="205" t="s">
        <v>187</v>
      </c>
      <c r="G18" s="206" t="s">
        <v>182</v>
      </c>
    </row>
    <row r="19" spans="5:7" ht="24.75" customHeight="1" x14ac:dyDescent="0.25">
      <c r="E19" s="203" t="s">
        <v>185</v>
      </c>
      <c r="F19" s="203">
        <v>7.64</v>
      </c>
      <c r="G19" s="204" t="s">
        <v>179</v>
      </c>
    </row>
    <row r="21" spans="5:7" x14ac:dyDescent="0.25">
      <c r="G21">
        <v>293.19</v>
      </c>
    </row>
    <row r="22" spans="5:7" x14ac:dyDescent="0.25">
      <c r="G22">
        <v>285.55</v>
      </c>
    </row>
    <row r="23" spans="5:7" x14ac:dyDescent="0.25">
      <c r="G23">
        <f>G21-G22</f>
        <v>7.6399999999999864</v>
      </c>
    </row>
  </sheetData>
  <pageMargins left="0.7" right="0.7" top="0.75" bottom="0.75" header="0.3" footer="0.3"/>
  <pageSetup orientation="portrait" horizontalDpi="0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65"/>
  <sheetViews>
    <sheetView topLeftCell="A49" zoomScaleNormal="100" workbookViewId="0">
      <selection activeCell="Z64" sqref="Z64"/>
    </sheetView>
  </sheetViews>
  <sheetFormatPr defaultColWidth="9.140625" defaultRowHeight="12.75" x14ac:dyDescent="0.2"/>
  <cols>
    <col min="1" max="1" width="4.85546875" style="8" customWidth="1"/>
    <col min="2" max="2" width="5.7109375" style="8" customWidth="1"/>
    <col min="3" max="3" width="40" style="8" customWidth="1"/>
    <col min="4" max="4" width="14.140625" style="8" customWidth="1"/>
    <col min="5" max="5" width="8.28515625" style="8" customWidth="1"/>
    <col min="6" max="7" width="10.5703125" style="26" hidden="1" customWidth="1"/>
    <col min="8" max="23" width="10.5703125" style="8" hidden="1" customWidth="1"/>
    <col min="24" max="24" width="14.7109375" style="8" customWidth="1"/>
    <col min="25" max="25" width="11.140625" style="8" customWidth="1"/>
    <col min="26" max="26" width="23.7109375" style="8" customWidth="1"/>
    <col min="27" max="27" width="15" style="8" customWidth="1"/>
    <col min="28" max="28" width="21" style="8" customWidth="1"/>
    <col min="29" max="29" width="19.140625" style="8" customWidth="1"/>
    <col min="30" max="30" width="10" style="8" bestFit="1" customWidth="1"/>
    <col min="31" max="31" width="15" style="8" customWidth="1"/>
    <col min="32" max="16384" width="9.140625" style="8"/>
  </cols>
  <sheetData>
    <row r="1" spans="2:26" s="29" customFormat="1" ht="24.75" customHeight="1" x14ac:dyDescent="0.35">
      <c r="B1" s="222" t="s">
        <v>129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</row>
    <row r="2" spans="2:26" s="29" customFormat="1" ht="25.5" customHeight="1" x14ac:dyDescent="0.35">
      <c r="B2" s="223" t="s">
        <v>146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</row>
    <row r="3" spans="2:26" s="29" customFormat="1" ht="19.5" customHeight="1" x14ac:dyDescent="0.25">
      <c r="F3" s="4"/>
      <c r="G3" s="4"/>
      <c r="H3" s="5"/>
      <c r="I3" s="5"/>
      <c r="J3" s="6"/>
      <c r="K3" s="6"/>
      <c r="M3" s="7"/>
      <c r="N3" s="30"/>
      <c r="O3" s="30"/>
      <c r="P3" s="6"/>
      <c r="Q3" s="7"/>
      <c r="R3" s="30"/>
      <c r="S3" s="30"/>
      <c r="T3" s="30"/>
      <c r="U3" s="30"/>
      <c r="V3" s="30"/>
      <c r="W3" s="30"/>
      <c r="X3" s="30"/>
      <c r="Y3" s="30"/>
    </row>
    <row r="4" spans="2:26" s="1" customFormat="1" ht="15.75" x14ac:dyDescent="0.25">
      <c r="B4" s="218" t="s">
        <v>1</v>
      </c>
      <c r="C4" s="218" t="s">
        <v>2</v>
      </c>
      <c r="D4" s="220" t="s">
        <v>56</v>
      </c>
      <c r="E4" s="221"/>
      <c r="F4" s="216" t="s">
        <v>3</v>
      </c>
      <c r="G4" s="217"/>
      <c r="H4" s="214" t="s">
        <v>4</v>
      </c>
      <c r="I4" s="215"/>
      <c r="J4" s="214" t="s">
        <v>5</v>
      </c>
      <c r="K4" s="215"/>
      <c r="L4" s="214" t="s">
        <v>20</v>
      </c>
      <c r="M4" s="215"/>
      <c r="N4" s="214" t="s">
        <v>21</v>
      </c>
      <c r="O4" s="215"/>
      <c r="P4" s="216" t="s">
        <v>22</v>
      </c>
      <c r="Q4" s="217"/>
      <c r="R4" s="214" t="s">
        <v>6</v>
      </c>
      <c r="S4" s="215"/>
      <c r="T4" s="214" t="s">
        <v>7</v>
      </c>
      <c r="U4" s="215"/>
      <c r="V4" s="214" t="s">
        <v>8</v>
      </c>
      <c r="W4" s="215"/>
      <c r="X4" s="224" t="s">
        <v>9</v>
      </c>
      <c r="Y4" s="224"/>
      <c r="Z4" s="224" t="s">
        <v>71</v>
      </c>
    </row>
    <row r="5" spans="2:26" s="1" customFormat="1" ht="15.75" x14ac:dyDescent="0.25">
      <c r="B5" s="219"/>
      <c r="C5" s="219"/>
      <c r="D5" s="42" t="s">
        <v>10</v>
      </c>
      <c r="E5" s="42" t="s">
        <v>19</v>
      </c>
      <c r="F5" s="42" t="s">
        <v>10</v>
      </c>
      <c r="G5" s="42" t="s">
        <v>19</v>
      </c>
      <c r="H5" s="42" t="s">
        <v>10</v>
      </c>
      <c r="I5" s="42" t="s">
        <v>19</v>
      </c>
      <c r="J5" s="42" t="s">
        <v>10</v>
      </c>
      <c r="K5" s="42" t="s">
        <v>19</v>
      </c>
      <c r="L5" s="42" t="s">
        <v>10</v>
      </c>
      <c r="M5" s="42" t="s">
        <v>19</v>
      </c>
      <c r="N5" s="42" t="s">
        <v>10</v>
      </c>
      <c r="O5" s="42" t="s">
        <v>19</v>
      </c>
      <c r="P5" s="42" t="s">
        <v>10</v>
      </c>
      <c r="Q5" s="42" t="s">
        <v>19</v>
      </c>
      <c r="R5" s="42" t="s">
        <v>10</v>
      </c>
      <c r="S5" s="42" t="s">
        <v>19</v>
      </c>
      <c r="T5" s="42" t="s">
        <v>10</v>
      </c>
      <c r="U5" s="42" t="s">
        <v>19</v>
      </c>
      <c r="V5" s="42" t="s">
        <v>10</v>
      </c>
      <c r="W5" s="42" t="s">
        <v>19</v>
      </c>
      <c r="X5" s="162" t="s">
        <v>10</v>
      </c>
      <c r="Y5" s="42" t="s">
        <v>11</v>
      </c>
      <c r="Z5" s="224"/>
    </row>
    <row r="6" spans="2:26" s="65" customFormat="1" ht="21" customHeight="1" x14ac:dyDescent="0.25">
      <c r="B6" s="63">
        <v>1</v>
      </c>
      <c r="C6" s="62" t="s">
        <v>31</v>
      </c>
      <c r="D6" s="62"/>
      <c r="E6" s="62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2">
        <f>F6+H6+J6+L6+N6+P6+R6+T6+V6</f>
        <v>0</v>
      </c>
      <c r="Y6" s="62">
        <f>G6+I6+K6+M6+O6+Q6+S6+U6+W6</f>
        <v>0</v>
      </c>
      <c r="Z6" s="62"/>
    </row>
    <row r="7" spans="2:26" s="65" customFormat="1" ht="21" customHeight="1" x14ac:dyDescent="0.25">
      <c r="B7" s="66">
        <v>2</v>
      </c>
      <c r="C7" s="67" t="s">
        <v>48</v>
      </c>
      <c r="D7" s="67"/>
      <c r="E7" s="67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7">
        <f>F7+H7+J7+L7+N7+P7+R7+T7+V7</f>
        <v>0</v>
      </c>
      <c r="Y7" s="67">
        <f>G7+I7+K7+M7+O7+Q7+S7+U7+W7</f>
        <v>0</v>
      </c>
      <c r="Z7" s="67"/>
    </row>
    <row r="8" spans="2:26" s="65" customFormat="1" ht="21" customHeight="1" x14ac:dyDescent="0.25">
      <c r="B8" s="66">
        <v>3</v>
      </c>
      <c r="C8" s="67" t="s">
        <v>40</v>
      </c>
      <c r="D8" s="67"/>
      <c r="E8" s="67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7">
        <f t="shared" ref="X8:Y37" si="0">F8+H8+J8+L8+N8+P8+R8+T8+V8</f>
        <v>0</v>
      </c>
      <c r="Y8" s="67">
        <f t="shared" si="0"/>
        <v>0</v>
      </c>
      <c r="Z8" s="67"/>
    </row>
    <row r="9" spans="2:26" s="65" customFormat="1" ht="21" customHeight="1" x14ac:dyDescent="0.25">
      <c r="B9" s="66">
        <v>4</v>
      </c>
      <c r="C9" s="67" t="s">
        <v>12</v>
      </c>
      <c r="D9" s="67"/>
      <c r="E9" s="67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7">
        <f t="shared" si="0"/>
        <v>0</v>
      </c>
      <c r="Y9" s="67">
        <f t="shared" si="0"/>
        <v>0</v>
      </c>
      <c r="Z9" s="67"/>
    </row>
    <row r="10" spans="2:26" s="65" customFormat="1" ht="21" customHeight="1" x14ac:dyDescent="0.25">
      <c r="B10" s="66">
        <v>5</v>
      </c>
      <c r="C10" s="67" t="s">
        <v>45</v>
      </c>
      <c r="D10" s="67"/>
      <c r="E10" s="67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7">
        <f t="shared" si="0"/>
        <v>0</v>
      </c>
      <c r="Y10" s="67">
        <f t="shared" si="0"/>
        <v>0</v>
      </c>
      <c r="Z10" s="67"/>
    </row>
    <row r="11" spans="2:26" s="65" customFormat="1" ht="21" customHeight="1" x14ac:dyDescent="0.25">
      <c r="B11" s="66">
        <v>6</v>
      </c>
      <c r="C11" s="67" t="s">
        <v>46</v>
      </c>
      <c r="D11" s="67"/>
      <c r="E11" s="67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7">
        <f t="shared" si="0"/>
        <v>0</v>
      </c>
      <c r="Y11" s="67">
        <f t="shared" si="0"/>
        <v>0</v>
      </c>
      <c r="Z11" s="67"/>
    </row>
    <row r="12" spans="2:26" s="65" customFormat="1" ht="21" customHeight="1" x14ac:dyDescent="0.25">
      <c r="B12" s="66">
        <v>7</v>
      </c>
      <c r="C12" s="67" t="s">
        <v>47</v>
      </c>
      <c r="D12" s="67"/>
      <c r="E12" s="67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7">
        <f t="shared" si="0"/>
        <v>0</v>
      </c>
      <c r="Y12" s="67">
        <f t="shared" si="0"/>
        <v>0</v>
      </c>
      <c r="Z12" s="67"/>
    </row>
    <row r="13" spans="2:26" s="65" customFormat="1" ht="21" customHeight="1" x14ac:dyDescent="0.25">
      <c r="B13" s="66">
        <v>8</v>
      </c>
      <c r="C13" s="67" t="s">
        <v>32</v>
      </c>
      <c r="D13" s="67"/>
      <c r="E13" s="67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7">
        <f t="shared" si="0"/>
        <v>0</v>
      </c>
      <c r="Y13" s="67">
        <f t="shared" si="0"/>
        <v>0</v>
      </c>
      <c r="Z13" s="67"/>
    </row>
    <row r="14" spans="2:26" s="65" customFormat="1" ht="21" customHeight="1" x14ac:dyDescent="0.25">
      <c r="B14" s="66">
        <v>9</v>
      </c>
      <c r="C14" s="67" t="s">
        <v>33</v>
      </c>
      <c r="D14" s="67"/>
      <c r="E14" s="67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7">
        <f t="shared" si="0"/>
        <v>0</v>
      </c>
      <c r="Y14" s="67">
        <f t="shared" si="0"/>
        <v>0</v>
      </c>
      <c r="Z14" s="67"/>
    </row>
    <row r="15" spans="2:26" s="65" customFormat="1" ht="21" customHeight="1" x14ac:dyDescent="0.25">
      <c r="B15" s="66">
        <v>10</v>
      </c>
      <c r="C15" s="67" t="s">
        <v>34</v>
      </c>
      <c r="D15" s="67"/>
      <c r="E15" s="67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7">
        <f t="shared" si="0"/>
        <v>0</v>
      </c>
      <c r="Y15" s="67">
        <f t="shared" si="0"/>
        <v>0</v>
      </c>
      <c r="Z15" s="67"/>
    </row>
    <row r="16" spans="2:26" s="65" customFormat="1" ht="21" customHeight="1" x14ac:dyDescent="0.25">
      <c r="B16" s="66">
        <v>11</v>
      </c>
      <c r="C16" s="67" t="s">
        <v>41</v>
      </c>
      <c r="D16" s="67"/>
      <c r="E16" s="67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7">
        <f t="shared" si="0"/>
        <v>0</v>
      </c>
      <c r="Y16" s="67">
        <f t="shared" si="0"/>
        <v>0</v>
      </c>
      <c r="Z16" s="67"/>
    </row>
    <row r="17" spans="2:28" s="65" customFormat="1" ht="19.5" customHeight="1" x14ac:dyDescent="0.25">
      <c r="B17" s="66">
        <v>12</v>
      </c>
      <c r="C17" s="69" t="s">
        <v>53</v>
      </c>
      <c r="D17" s="67"/>
      <c r="E17" s="159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7">
        <f t="shared" si="0"/>
        <v>0</v>
      </c>
      <c r="Y17" s="67">
        <f t="shared" si="0"/>
        <v>0</v>
      </c>
      <c r="Z17" s="67"/>
    </row>
    <row r="18" spans="2:28" s="65" customFormat="1" ht="21" customHeight="1" x14ac:dyDescent="0.25">
      <c r="B18" s="66">
        <v>13</v>
      </c>
      <c r="C18" s="67" t="s">
        <v>42</v>
      </c>
      <c r="D18" s="67"/>
      <c r="E18" s="67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7">
        <f t="shared" si="0"/>
        <v>0</v>
      </c>
      <c r="Y18" s="67">
        <f t="shared" si="0"/>
        <v>0</v>
      </c>
      <c r="Z18" s="67"/>
    </row>
    <row r="19" spans="2:28" s="65" customFormat="1" ht="21" customHeight="1" x14ac:dyDescent="0.25">
      <c r="B19" s="66">
        <v>14</v>
      </c>
      <c r="C19" s="67" t="s">
        <v>35</v>
      </c>
      <c r="D19" s="67"/>
      <c r="E19" s="67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7">
        <f t="shared" si="0"/>
        <v>0</v>
      </c>
      <c r="Y19" s="67">
        <f t="shared" si="0"/>
        <v>0</v>
      </c>
      <c r="Z19" s="67"/>
    </row>
    <row r="20" spans="2:28" s="65" customFormat="1" ht="21" customHeight="1" x14ac:dyDescent="0.25">
      <c r="B20" s="66">
        <v>15</v>
      </c>
      <c r="C20" s="67" t="s">
        <v>51</v>
      </c>
      <c r="D20" s="67"/>
      <c r="E20" s="67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7">
        <f t="shared" si="0"/>
        <v>0</v>
      </c>
      <c r="Y20" s="67">
        <f t="shared" si="0"/>
        <v>0</v>
      </c>
      <c r="Z20" s="67"/>
    </row>
    <row r="21" spans="2:28" s="65" customFormat="1" ht="21" customHeight="1" x14ac:dyDescent="0.25">
      <c r="B21" s="66">
        <v>16</v>
      </c>
      <c r="C21" s="67" t="s">
        <v>26</v>
      </c>
      <c r="D21" s="67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7">
        <f t="shared" si="0"/>
        <v>0</v>
      </c>
      <c r="Y21" s="67">
        <f t="shared" si="0"/>
        <v>0</v>
      </c>
      <c r="Z21" s="67"/>
    </row>
    <row r="22" spans="2:28" s="65" customFormat="1" ht="21" customHeight="1" x14ac:dyDescent="0.25">
      <c r="B22" s="66">
        <v>17</v>
      </c>
      <c r="C22" s="67" t="s">
        <v>27</v>
      </c>
      <c r="D22" s="67">
        <v>60000</v>
      </c>
      <c r="E22" s="67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7">
        <f>D22</f>
        <v>60000</v>
      </c>
      <c r="Y22" s="67">
        <f t="shared" si="0"/>
        <v>0</v>
      </c>
      <c r="Z22" s="67" t="s">
        <v>147</v>
      </c>
    </row>
    <row r="23" spans="2:28" s="65" customFormat="1" ht="21" customHeight="1" x14ac:dyDescent="0.25">
      <c r="B23" s="66">
        <v>18</v>
      </c>
      <c r="C23" s="67" t="s">
        <v>43</v>
      </c>
      <c r="D23" s="67">
        <v>600000</v>
      </c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7">
        <f>D23</f>
        <v>600000</v>
      </c>
      <c r="Y23" s="67">
        <f t="shared" si="0"/>
        <v>0</v>
      </c>
      <c r="Z23" s="67"/>
    </row>
    <row r="24" spans="2:28" s="65" customFormat="1" ht="21" customHeight="1" x14ac:dyDescent="0.25">
      <c r="B24" s="66">
        <v>19</v>
      </c>
      <c r="C24" s="67" t="s">
        <v>44</v>
      </c>
      <c r="D24" s="67"/>
      <c r="E24" s="67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7">
        <f t="shared" si="0"/>
        <v>0</v>
      </c>
      <c r="Y24" s="67">
        <f t="shared" si="0"/>
        <v>0</v>
      </c>
      <c r="Z24" s="67"/>
    </row>
    <row r="25" spans="2:28" s="65" customFormat="1" ht="21" customHeight="1" x14ac:dyDescent="0.25">
      <c r="B25" s="66">
        <v>20</v>
      </c>
      <c r="C25" s="67" t="s">
        <v>28</v>
      </c>
      <c r="D25" s="67"/>
      <c r="E25" s="67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7">
        <f t="shared" si="0"/>
        <v>0</v>
      </c>
      <c r="Y25" s="67">
        <f t="shared" si="0"/>
        <v>0</v>
      </c>
      <c r="Z25" s="67"/>
    </row>
    <row r="26" spans="2:28" s="65" customFormat="1" ht="21" customHeight="1" x14ac:dyDescent="0.25">
      <c r="B26" s="66">
        <v>21</v>
      </c>
      <c r="C26" s="67" t="s">
        <v>29</v>
      </c>
      <c r="D26" s="67"/>
      <c r="E26" s="67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7">
        <f t="shared" si="0"/>
        <v>0</v>
      </c>
      <c r="Y26" s="67">
        <f t="shared" si="0"/>
        <v>0</v>
      </c>
      <c r="Z26" s="67"/>
    </row>
    <row r="27" spans="2:28" s="65" customFormat="1" ht="21" customHeight="1" x14ac:dyDescent="0.25">
      <c r="B27" s="66">
        <v>22</v>
      </c>
      <c r="C27" s="67" t="s">
        <v>49</v>
      </c>
      <c r="D27" s="67"/>
      <c r="E27" s="67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7">
        <f t="shared" si="0"/>
        <v>0</v>
      </c>
      <c r="Y27" s="67">
        <f t="shared" si="0"/>
        <v>0</v>
      </c>
      <c r="Z27" s="67"/>
    </row>
    <row r="28" spans="2:28" s="65" customFormat="1" ht="21" customHeight="1" x14ac:dyDescent="0.25">
      <c r="B28" s="66">
        <v>23</v>
      </c>
      <c r="C28" s="67" t="s">
        <v>50</v>
      </c>
      <c r="D28" s="67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7">
        <f t="shared" si="0"/>
        <v>0</v>
      </c>
      <c r="Y28" s="67">
        <f t="shared" si="0"/>
        <v>0</v>
      </c>
      <c r="Z28" s="67"/>
    </row>
    <row r="29" spans="2:28" s="65" customFormat="1" ht="21" customHeight="1" x14ac:dyDescent="0.25">
      <c r="B29" s="66">
        <v>24</v>
      </c>
      <c r="C29" s="67" t="s">
        <v>13</v>
      </c>
      <c r="D29" s="67"/>
      <c r="E29" s="67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7">
        <f t="shared" si="0"/>
        <v>0</v>
      </c>
      <c r="Y29" s="67">
        <f t="shared" si="0"/>
        <v>0</v>
      </c>
      <c r="Z29" s="67"/>
    </row>
    <row r="30" spans="2:28" s="65" customFormat="1" ht="21" customHeight="1" x14ac:dyDescent="0.25">
      <c r="B30" s="66">
        <v>25</v>
      </c>
      <c r="C30" s="67" t="s">
        <v>30</v>
      </c>
      <c r="D30" s="67"/>
      <c r="E30" s="67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7">
        <f t="shared" si="0"/>
        <v>0</v>
      </c>
      <c r="Y30" s="67">
        <f t="shared" si="0"/>
        <v>0</v>
      </c>
      <c r="Z30" s="67"/>
    </row>
    <row r="31" spans="2:28" s="65" customFormat="1" ht="21" customHeight="1" x14ac:dyDescent="0.25">
      <c r="B31" s="66">
        <v>26</v>
      </c>
      <c r="C31" s="67" t="s">
        <v>54</v>
      </c>
      <c r="D31" s="67"/>
      <c r="E31" s="67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7">
        <f t="shared" si="0"/>
        <v>0</v>
      </c>
      <c r="Y31" s="67">
        <f t="shared" si="0"/>
        <v>0</v>
      </c>
      <c r="Z31" s="67"/>
      <c r="AB31" s="65">
        <f>2907.3*2200</f>
        <v>6396060</v>
      </c>
    </row>
    <row r="32" spans="2:28" s="65" customFormat="1" ht="21" customHeight="1" x14ac:dyDescent="0.25">
      <c r="B32" s="66">
        <v>27</v>
      </c>
      <c r="C32" s="67" t="s">
        <v>52</v>
      </c>
      <c r="D32" s="67"/>
      <c r="E32" s="67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7">
        <f t="shared" si="0"/>
        <v>0</v>
      </c>
      <c r="Y32" s="67">
        <f t="shared" si="0"/>
        <v>0</v>
      </c>
      <c r="Z32" s="67"/>
      <c r="AB32" s="65">
        <f>2907.3*2080</f>
        <v>6047184</v>
      </c>
    </row>
    <row r="33" spans="2:28" s="65" customFormat="1" ht="21" customHeight="1" x14ac:dyDescent="0.25">
      <c r="B33" s="66">
        <v>28</v>
      </c>
      <c r="C33" s="67" t="s">
        <v>36</v>
      </c>
      <c r="D33" s="67"/>
      <c r="E33" s="67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7">
        <f t="shared" si="0"/>
        <v>0</v>
      </c>
      <c r="Y33" s="67">
        <f t="shared" si="0"/>
        <v>0</v>
      </c>
      <c r="Z33" s="67"/>
    </row>
    <row r="34" spans="2:28" s="65" customFormat="1" ht="21" customHeight="1" x14ac:dyDescent="0.25">
      <c r="B34" s="66">
        <v>29</v>
      </c>
      <c r="C34" s="67" t="s">
        <v>37</v>
      </c>
      <c r="D34" s="67"/>
      <c r="E34" s="67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7">
        <f t="shared" si="0"/>
        <v>0</v>
      </c>
      <c r="Y34" s="67">
        <f t="shared" si="0"/>
        <v>0</v>
      </c>
      <c r="Z34" s="67"/>
    </row>
    <row r="35" spans="2:28" s="65" customFormat="1" ht="21" customHeight="1" x14ac:dyDescent="0.25">
      <c r="B35" s="66">
        <v>30</v>
      </c>
      <c r="C35" s="67" t="s">
        <v>38</v>
      </c>
      <c r="D35" s="67"/>
      <c r="E35" s="67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7">
        <f t="shared" si="0"/>
        <v>0</v>
      </c>
      <c r="Y35" s="67">
        <f t="shared" si="0"/>
        <v>0</v>
      </c>
      <c r="Z35" s="67"/>
    </row>
    <row r="36" spans="2:28" s="65" customFormat="1" ht="21" customHeight="1" x14ac:dyDescent="0.25">
      <c r="B36" s="66">
        <v>31</v>
      </c>
      <c r="C36" s="67" t="s">
        <v>39</v>
      </c>
      <c r="D36" s="67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7">
        <f t="shared" si="0"/>
        <v>0</v>
      </c>
      <c r="Y36" s="67">
        <f t="shared" si="0"/>
        <v>0</v>
      </c>
      <c r="Z36" s="67"/>
    </row>
    <row r="37" spans="2:28" ht="13.5" customHeight="1" x14ac:dyDescent="0.2">
      <c r="B37" s="51"/>
      <c r="C37" s="19"/>
      <c r="D37" s="19"/>
      <c r="E37" s="103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3">
        <f t="shared" si="0"/>
        <v>0</v>
      </c>
      <c r="Y37" s="103">
        <f t="shared" si="0"/>
        <v>0</v>
      </c>
      <c r="Z37" s="103"/>
    </row>
    <row r="38" spans="2:28" s="65" customFormat="1" ht="24.75" customHeight="1" thickBot="1" x14ac:dyDescent="0.3">
      <c r="B38" s="70"/>
      <c r="C38" s="82" t="s">
        <v>14</v>
      </c>
      <c r="D38" s="132">
        <f>SUM(D6:D37)</f>
        <v>660000</v>
      </c>
      <c r="E38" s="105">
        <f t="shared" ref="E38:Y38" si="1">SUM(E6:E37)</f>
        <v>0</v>
      </c>
      <c r="F38" s="105">
        <f t="shared" si="1"/>
        <v>0</v>
      </c>
      <c r="G38" s="105">
        <f t="shared" si="1"/>
        <v>0</v>
      </c>
      <c r="H38" s="105">
        <f t="shared" si="1"/>
        <v>0</v>
      </c>
      <c r="I38" s="105">
        <f t="shared" si="1"/>
        <v>0</v>
      </c>
      <c r="J38" s="105">
        <f t="shared" si="1"/>
        <v>0</v>
      </c>
      <c r="K38" s="105">
        <f t="shared" si="1"/>
        <v>0</v>
      </c>
      <c r="L38" s="105">
        <f t="shared" si="1"/>
        <v>0</v>
      </c>
      <c r="M38" s="105">
        <f t="shared" si="1"/>
        <v>0</v>
      </c>
      <c r="N38" s="105">
        <f t="shared" si="1"/>
        <v>0</v>
      </c>
      <c r="O38" s="105">
        <f t="shared" si="1"/>
        <v>0</v>
      </c>
      <c r="P38" s="105">
        <f t="shared" si="1"/>
        <v>0</v>
      </c>
      <c r="Q38" s="105">
        <f t="shared" si="1"/>
        <v>0</v>
      </c>
      <c r="R38" s="105">
        <f t="shared" si="1"/>
        <v>0</v>
      </c>
      <c r="S38" s="105">
        <f t="shared" si="1"/>
        <v>0</v>
      </c>
      <c r="T38" s="105">
        <f t="shared" si="1"/>
        <v>0</v>
      </c>
      <c r="U38" s="105">
        <f t="shared" si="1"/>
        <v>0</v>
      </c>
      <c r="V38" s="105">
        <f t="shared" si="1"/>
        <v>0</v>
      </c>
      <c r="W38" s="105">
        <f t="shared" si="1"/>
        <v>0</v>
      </c>
      <c r="X38" s="133">
        <f>SUM(X6:X37)</f>
        <v>660000</v>
      </c>
      <c r="Y38" s="105">
        <f t="shared" si="1"/>
        <v>0</v>
      </c>
      <c r="Z38" s="106"/>
      <c r="AA38" s="111"/>
    </row>
    <row r="39" spans="2:28" ht="13.5" thickTop="1" x14ac:dyDescent="0.2">
      <c r="F39" s="8"/>
      <c r="G39" s="8"/>
      <c r="AB39" s="83"/>
    </row>
    <row r="40" spans="2:28" x14ac:dyDescent="0.2">
      <c r="F40" s="8"/>
      <c r="G40" s="8"/>
      <c r="AB40" s="83"/>
    </row>
    <row r="41" spans="2:28" ht="14.25" x14ac:dyDescent="0.2">
      <c r="C41" s="120" t="s">
        <v>76</v>
      </c>
      <c r="D41" s="121" t="s">
        <v>16</v>
      </c>
      <c r="E41" s="121"/>
      <c r="F41" s="121"/>
      <c r="G41" s="121"/>
      <c r="H41" s="121"/>
      <c r="I41" s="121"/>
      <c r="J41" s="121" t="s">
        <v>16</v>
      </c>
      <c r="K41" s="121"/>
      <c r="L41" s="121"/>
      <c r="M41" s="121"/>
      <c r="N41" s="121"/>
      <c r="O41" s="121"/>
      <c r="P41" s="121"/>
      <c r="Q41" s="121"/>
      <c r="R41" s="121" t="s">
        <v>17</v>
      </c>
      <c r="S41" s="121"/>
      <c r="T41" s="121"/>
      <c r="U41" s="121"/>
      <c r="V41" s="121"/>
      <c r="W41" s="121"/>
      <c r="X41" s="121"/>
      <c r="Y41" s="121" t="s">
        <v>17</v>
      </c>
      <c r="Z41" s="121"/>
    </row>
    <row r="42" spans="2:28" ht="15" x14ac:dyDescent="0.25">
      <c r="C42" s="163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</row>
    <row r="43" spans="2:28" ht="15" x14ac:dyDescent="0.25">
      <c r="C43" s="163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</row>
    <row r="44" spans="2:28" ht="15" x14ac:dyDescent="0.25">
      <c r="C44" s="163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</row>
    <row r="45" spans="2:28" ht="15" x14ac:dyDescent="0.25">
      <c r="C45" s="163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</row>
    <row r="46" spans="2:28" ht="15" x14ac:dyDescent="0.25">
      <c r="C46" s="163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</row>
    <row r="47" spans="2:28" ht="15" x14ac:dyDescent="0.25">
      <c r="C47" s="163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</row>
    <row r="48" spans="2:28" ht="15" x14ac:dyDescent="0.25"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6"/>
      <c r="Y48" s="115"/>
      <c r="Z48" s="115"/>
    </row>
    <row r="49" spans="3:27" ht="15" x14ac:dyDescent="0.25"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7"/>
      <c r="Y49" s="115"/>
      <c r="Z49" s="115"/>
    </row>
    <row r="50" spans="3:27" ht="15" x14ac:dyDescent="0.25">
      <c r="C50" s="115" t="s">
        <v>148</v>
      </c>
      <c r="D50" s="225" t="s">
        <v>151</v>
      </c>
      <c r="E50" s="225"/>
      <c r="F50" s="225"/>
      <c r="G50" s="118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 t="s">
        <v>23</v>
      </c>
      <c r="S50" s="115" t="s">
        <v>63</v>
      </c>
      <c r="T50" s="115"/>
      <c r="U50" s="116"/>
      <c r="V50" s="116"/>
      <c r="W50" s="116"/>
      <c r="X50" s="116"/>
      <c r="Y50" s="119" t="s">
        <v>132</v>
      </c>
      <c r="Z50" s="119"/>
      <c r="AA50" s="48"/>
    </row>
    <row r="51" spans="3:27" ht="15" x14ac:dyDescent="0.25">
      <c r="C51" s="115" t="s">
        <v>149</v>
      </c>
      <c r="D51" s="225" t="s">
        <v>83</v>
      </c>
      <c r="E51" s="225"/>
      <c r="F51" s="225"/>
      <c r="G51" s="118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 t="s">
        <v>24</v>
      </c>
      <c r="S51" s="115" t="s">
        <v>64</v>
      </c>
      <c r="T51" s="115"/>
      <c r="U51" s="116"/>
      <c r="V51" s="116"/>
      <c r="W51" s="116"/>
      <c r="X51" s="116"/>
      <c r="Y51" s="119" t="s">
        <v>133</v>
      </c>
      <c r="Z51" s="119"/>
      <c r="AA51" s="48"/>
    </row>
    <row r="52" spans="3:27" ht="15" x14ac:dyDescent="0.25">
      <c r="C52" s="115" t="s">
        <v>150</v>
      </c>
      <c r="D52" s="115" t="s">
        <v>150</v>
      </c>
      <c r="E52" s="119"/>
      <c r="F52" s="119"/>
      <c r="G52" s="118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 t="s">
        <v>25</v>
      </c>
      <c r="S52" s="115" t="s">
        <v>65</v>
      </c>
      <c r="T52" s="115"/>
      <c r="U52" s="116"/>
      <c r="V52" s="116"/>
      <c r="W52" s="116"/>
      <c r="X52" s="117"/>
      <c r="Y52" s="119" t="s">
        <v>152</v>
      </c>
      <c r="Z52" s="119"/>
      <c r="AA52" s="48"/>
    </row>
    <row r="53" spans="3:27" ht="15" x14ac:dyDescent="0.25">
      <c r="C53" s="115"/>
      <c r="D53" s="115"/>
      <c r="E53" s="115"/>
      <c r="F53" s="118"/>
      <c r="G53" s="118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6"/>
      <c r="V53" s="116"/>
      <c r="W53" s="116"/>
      <c r="X53" s="116"/>
      <c r="Y53" s="116"/>
      <c r="Z53" s="115"/>
    </row>
    <row r="54" spans="3:27" ht="15" x14ac:dyDescent="0.25">
      <c r="C54" s="115"/>
      <c r="D54" s="115"/>
      <c r="E54" s="115"/>
      <c r="F54" s="118"/>
      <c r="G54" s="118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6"/>
      <c r="V54" s="116"/>
      <c r="W54" s="116"/>
      <c r="X54" s="116"/>
      <c r="Y54" s="116"/>
      <c r="Z54" s="115"/>
    </row>
    <row r="55" spans="3:27" x14ac:dyDescent="0.2">
      <c r="U55" s="24"/>
      <c r="V55" s="27"/>
      <c r="W55" s="27"/>
      <c r="X55" s="24"/>
      <c r="Y55" s="24"/>
    </row>
    <row r="56" spans="3:27" x14ac:dyDescent="0.2">
      <c r="U56" s="24"/>
      <c r="V56" s="24"/>
      <c r="W56" s="24"/>
      <c r="X56" s="24"/>
      <c r="Y56" s="24"/>
    </row>
    <row r="57" spans="3:27" x14ac:dyDescent="0.2">
      <c r="U57" s="24"/>
      <c r="V57" s="24"/>
      <c r="W57" s="24"/>
      <c r="X57" s="24"/>
      <c r="Y57" s="24"/>
    </row>
    <row r="58" spans="3:27" x14ac:dyDescent="0.2">
      <c r="U58" s="24"/>
      <c r="V58" s="24"/>
      <c r="W58" s="24"/>
      <c r="X58" s="24"/>
      <c r="Y58" s="24"/>
    </row>
    <row r="59" spans="3:27" x14ac:dyDescent="0.2">
      <c r="U59" s="24"/>
      <c r="V59" s="24"/>
      <c r="W59" s="24"/>
      <c r="X59" s="24"/>
      <c r="Y59" s="24"/>
    </row>
    <row r="61" spans="3:27" x14ac:dyDescent="0.2">
      <c r="F61" s="8"/>
      <c r="G61" s="8"/>
    </row>
    <row r="62" spans="3:27" x14ac:dyDescent="0.2">
      <c r="F62" s="8"/>
      <c r="G62" s="8"/>
    </row>
    <row r="63" spans="3:27" x14ac:dyDescent="0.2">
      <c r="F63" s="8"/>
      <c r="G63" s="8"/>
    </row>
    <row r="64" spans="3:27" x14ac:dyDescent="0.2">
      <c r="F64" s="8"/>
      <c r="G64" s="8"/>
    </row>
    <row r="65" spans="6:7" x14ac:dyDescent="0.2">
      <c r="F65" s="8"/>
      <c r="G65" s="8"/>
    </row>
  </sheetData>
  <mergeCells count="18">
    <mergeCell ref="V4:W4"/>
    <mergeCell ref="X4:Y4"/>
    <mergeCell ref="Z4:Z5"/>
    <mergeCell ref="B1:Z1"/>
    <mergeCell ref="B2:Z2"/>
    <mergeCell ref="B4:B5"/>
    <mergeCell ref="C4:C5"/>
    <mergeCell ref="D4:E4"/>
    <mergeCell ref="F4:G4"/>
    <mergeCell ref="H4:I4"/>
    <mergeCell ref="J4:K4"/>
    <mergeCell ref="L4:M4"/>
    <mergeCell ref="N4:O4"/>
    <mergeCell ref="D50:F50"/>
    <mergeCell ref="D51:F51"/>
    <mergeCell ref="P4:Q4"/>
    <mergeCell ref="R4:S4"/>
    <mergeCell ref="T4:U4"/>
  </mergeCells>
  <pageMargins left="0.5" right="0.5" top="0.5" bottom="0.5" header="0" footer="0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52</vt:i4>
      </vt:variant>
      <vt:variant>
        <vt:lpstr>Named Ranges</vt:lpstr>
      </vt:variant>
      <vt:variant>
        <vt:i4>50</vt:i4>
      </vt:variant>
    </vt:vector>
  </HeadingPairs>
  <TitlesOfParts>
    <vt:vector size="102" baseType="lpstr">
      <vt:lpstr>Format</vt:lpstr>
      <vt:lpstr>Oct'19 </vt:lpstr>
      <vt:lpstr>Nov'19</vt:lpstr>
      <vt:lpstr>Dec'19</vt:lpstr>
      <vt:lpstr>Jan'20</vt:lpstr>
      <vt:lpstr>Feb'20</vt:lpstr>
      <vt:lpstr>Mar'20</vt:lpstr>
      <vt:lpstr>Mar approve</vt:lpstr>
      <vt:lpstr>Apr'20</vt:lpstr>
      <vt:lpstr>May'20</vt:lpstr>
      <vt:lpstr>Jun'20</vt:lpstr>
      <vt:lpstr>Jul'20</vt:lpstr>
      <vt:lpstr>Aug'20</vt:lpstr>
      <vt:lpstr>Sep'20</vt:lpstr>
      <vt:lpstr>Nov'20</vt:lpstr>
      <vt:lpstr>Dec'20</vt:lpstr>
      <vt:lpstr>Jan'21</vt:lpstr>
      <vt:lpstr>Feb'21</vt:lpstr>
      <vt:lpstr>Mar'21</vt:lpstr>
      <vt:lpstr>Apr'21</vt:lpstr>
      <vt:lpstr>May'21</vt:lpstr>
      <vt:lpstr>Jun'21</vt:lpstr>
      <vt:lpstr>Jul'21</vt:lpstr>
      <vt:lpstr>Aug'21</vt:lpstr>
      <vt:lpstr>Sep'21</vt:lpstr>
      <vt:lpstr>S'part Dept</vt:lpstr>
      <vt:lpstr>Oct'21</vt:lpstr>
      <vt:lpstr>Nov'21</vt:lpstr>
      <vt:lpstr>Dec'21</vt:lpstr>
      <vt:lpstr>Jan'22</vt:lpstr>
      <vt:lpstr>Feb'22</vt:lpstr>
      <vt:lpstr>Mar'22</vt:lpstr>
      <vt:lpstr>Apr'22</vt:lpstr>
      <vt:lpstr>May'22</vt:lpstr>
      <vt:lpstr>Jun'22</vt:lpstr>
      <vt:lpstr>Jul'22</vt:lpstr>
      <vt:lpstr>Aug'22</vt:lpstr>
      <vt:lpstr>Sep'22</vt:lpstr>
      <vt:lpstr>Oct'22</vt:lpstr>
      <vt:lpstr>Nov'22</vt:lpstr>
      <vt:lpstr>Dec'22</vt:lpstr>
      <vt:lpstr>Jan'23</vt:lpstr>
      <vt:lpstr>Feb'23 </vt:lpstr>
      <vt:lpstr>Mar'23  (2)</vt:lpstr>
      <vt:lpstr>Apr'23  </vt:lpstr>
      <vt:lpstr>May'23   </vt:lpstr>
      <vt:lpstr>Jun'23    (2)</vt:lpstr>
      <vt:lpstr>Jul'23    </vt:lpstr>
      <vt:lpstr>Aug'23</vt:lpstr>
      <vt:lpstr>Sep'23</vt:lpstr>
      <vt:lpstr>Sheet1</vt:lpstr>
      <vt:lpstr>May'22 (2)</vt:lpstr>
      <vt:lpstr>'Apr''20'!Print_Area</vt:lpstr>
      <vt:lpstr>'Apr''21'!Print_Area</vt:lpstr>
      <vt:lpstr>'Apr''22'!Print_Area</vt:lpstr>
      <vt:lpstr>'Apr''23  '!Print_Area</vt:lpstr>
      <vt:lpstr>'Aug''20'!Print_Area</vt:lpstr>
      <vt:lpstr>'Aug''21'!Print_Area</vt:lpstr>
      <vt:lpstr>'Aug''22'!Print_Area</vt:lpstr>
      <vt:lpstr>'Aug''23'!Print_Area</vt:lpstr>
      <vt:lpstr>'Dec''19'!Print_Area</vt:lpstr>
      <vt:lpstr>'Dec''20'!Print_Area</vt:lpstr>
      <vt:lpstr>'Dec''21'!Print_Area</vt:lpstr>
      <vt:lpstr>'Dec''22'!Print_Area</vt:lpstr>
      <vt:lpstr>'Feb''20'!Print_Area</vt:lpstr>
      <vt:lpstr>'Feb''21'!Print_Area</vt:lpstr>
      <vt:lpstr>'Feb''22'!Print_Area</vt:lpstr>
      <vt:lpstr>'Feb''23 '!Print_Area</vt:lpstr>
      <vt:lpstr>Format!Print_Area</vt:lpstr>
      <vt:lpstr>'Jan''20'!Print_Area</vt:lpstr>
      <vt:lpstr>'Jan''21'!Print_Area</vt:lpstr>
      <vt:lpstr>'Jan''22'!Print_Area</vt:lpstr>
      <vt:lpstr>'Jan''23'!Print_Area</vt:lpstr>
      <vt:lpstr>'Jul''20'!Print_Area</vt:lpstr>
      <vt:lpstr>'Jul''21'!Print_Area</vt:lpstr>
      <vt:lpstr>'Jul''22'!Print_Area</vt:lpstr>
      <vt:lpstr>'Jul''23    '!Print_Area</vt:lpstr>
      <vt:lpstr>'Jun''20'!Print_Area</vt:lpstr>
      <vt:lpstr>'Jun''21'!Print_Area</vt:lpstr>
      <vt:lpstr>'Jun''22'!Print_Area</vt:lpstr>
      <vt:lpstr>'Jun''23    (2)'!Print_Area</vt:lpstr>
      <vt:lpstr>'Mar''20'!Print_Area</vt:lpstr>
      <vt:lpstr>'Mar''21'!Print_Area</vt:lpstr>
      <vt:lpstr>'Mar''22'!Print_Area</vt:lpstr>
      <vt:lpstr>'Mar''23  (2)'!Print_Area</vt:lpstr>
      <vt:lpstr>'May''20'!Print_Area</vt:lpstr>
      <vt:lpstr>'May''21'!Print_Area</vt:lpstr>
      <vt:lpstr>'May''22'!Print_Area</vt:lpstr>
      <vt:lpstr>'May''22 (2)'!Print_Area</vt:lpstr>
      <vt:lpstr>'May''23   '!Print_Area</vt:lpstr>
      <vt:lpstr>'Nov''19'!Print_Area</vt:lpstr>
      <vt:lpstr>'Nov''20'!Print_Area</vt:lpstr>
      <vt:lpstr>'Nov''21'!Print_Area</vt:lpstr>
      <vt:lpstr>'Nov''22'!Print_Area</vt:lpstr>
      <vt:lpstr>'Oct''19 '!Print_Area</vt:lpstr>
      <vt:lpstr>'Oct''21'!Print_Area</vt:lpstr>
      <vt:lpstr>'Oct''22'!Print_Area</vt:lpstr>
      <vt:lpstr>'Sep''20'!Print_Area</vt:lpstr>
      <vt:lpstr>'Sep''21'!Print_Area</vt:lpstr>
      <vt:lpstr>'Sep''22'!Print_Area</vt:lpstr>
      <vt:lpstr>'Sep''23'!Print_Area</vt:lpstr>
      <vt:lpstr>'S''part Dept'!Print_Area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2023-05-29T04:43:58Z</cp:lastPrinted>
  <dcterms:created xsi:type="dcterms:W3CDTF">2019-08-26T06:44:57Z</dcterms:created>
  <dcterms:modified xsi:type="dcterms:W3CDTF">2023-10-05T08:58:42Z</dcterms:modified>
</cp:coreProperties>
</file>